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Übersicht" sheetId="1" state="visible" r:id="rId3"/>
    <sheet name="01_Annahmen" sheetId="2" state="visible" r:id="rId4"/>
    <sheet name="02_Investitionen" sheetId="3" state="visible" r:id="rId5"/>
    <sheet name="03_DCF Bestand" sheetId="4" state="visible" r:id="rId6"/>
    <sheet name="04_DCF Mix" sheetId="5" state="visible" r:id="rId7"/>
    <sheet name="05_Sensitivitäten" sheetId="6" state="visible" r:id="rId8"/>
    <sheet name="06_Annahmen &amp; Quelle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<sst xmlns="http://schemas.openxmlformats.org/spreadsheetml/2006/main" count="584" uniqueCount="253">
  <si>
    <t xml:space="preserve">Wasserschlosspark Untersiggenthal — DCF und Finanzierungsbedarf</t>
  </si>
  <si>
    <t xml:space="preserve">Urbanstreet Development AG · Patrick Hüppi, Timothy Traub, Marlon Lehner · Stand 28.09.2026 · Beträge in CHF</t>
  </si>
  <si>
    <t xml:space="preserve">Kennzahl</t>
  </si>
  <si>
    <t xml:space="preserve">Bestand</t>
  </si>
  <si>
    <t xml:space="preserve">Mix (Verkauf Villette I + II)</t>
  </si>
  <si>
    <t xml:space="preserve">Einheit</t>
  </si>
  <si>
    <t xml:space="preserve">Anlagekosten total (inkl. Land)</t>
  </si>
  <si>
    <t xml:space="preserve">CHF</t>
  </si>
  <si>
    <t xml:space="preserve">davon Land (Sacheinlage)</t>
  </si>
  <si>
    <t xml:space="preserve">Bar-Eigenkapital</t>
  </si>
  <si>
    <t xml:space="preserve">Eigenkapital total in % Anlagekosten</t>
  </si>
  <si>
    <t xml:space="preserve">%</t>
  </si>
  <si>
    <t xml:space="preserve">Kreditlimit (LTC)</t>
  </si>
  <si>
    <t xml:space="preserve">Peak-Kredit</t>
  </si>
  <si>
    <t xml:space="preserve">Peak-Kredit in % Anlagekosten</t>
  </si>
  <si>
    <t xml:space="preserve">Kreditsaldo Ende 2032 (Konsolidierung)</t>
  </si>
  <si>
    <t xml:space="preserve">Ertragswert gehaltener Phasen 2033</t>
  </si>
  <si>
    <t xml:space="preserve">Hypothek max. (LTV-Vorgabe)</t>
  </si>
  <si>
    <t xml:space="preserve">Refinanzierungslücke 2032 (+ = zusätzliches EK/Mezzanine)</t>
  </si>
  <si>
    <t xml:space="preserve">LTV 2033</t>
  </si>
  <si>
    <t xml:space="preserve">DSCR min. 2033–2040</t>
  </si>
  <si>
    <t xml:space="preserve">x</t>
  </si>
  <si>
    <t xml:space="preserve">ICR 2033</t>
  </si>
  <si>
    <t xml:space="preserve">Nettoertrag stabil 2033</t>
  </si>
  <si>
    <t xml:space="preserve">Verkaufserlöse netto</t>
  </si>
  <si>
    <t xml:space="preserve">Projekt-NPV @ Diskontsatz</t>
  </si>
  <si>
    <t xml:space="preserve">Projekt-IRR (unlevered)</t>
  </si>
  <si>
    <t xml:space="preserve">Eigenkapital-IRR (levered)</t>
  </si>
  <si>
    <t xml:space="preserve">Eigenkapital-Multiple</t>
  </si>
  <si>
    <t xml:space="preserve">Terminal Value 2040</t>
  </si>
  <si>
    <t xml:space="preserve">Barwert Terminal Value</t>
  </si>
  <si>
    <t xml:space="preserve">Landwert bei Diskontsatz (Land + NPV)</t>
  </si>
  <si>
    <t xml:space="preserve">Kovenant DSCR eingehalten?</t>
  </si>
  <si>
    <t xml:space="preserve">Kreditlimit eingehalten?</t>
  </si>
  <si>
    <t xml:space="preserve">Überschreitung Kreditlimit</t>
  </si>
  <si>
    <t xml:space="preserve">Diskontierungssatz Projekt</t>
  </si>
  <si>
    <t xml:space="preserve">Zinssatz all-in</t>
  </si>
  <si>
    <t xml:space="preserve">Belehnung Baukredit (LTC) / Hypothek (LTV)</t>
  </si>
  <si>
    <t xml:space="preserve">Indikative Berechnung ohne Steuern (Grundstückgewinn-, Ertrags- und Handänderungssteuern) und ohne heutige Bestandeserträge und -belastungen des Areals.</t>
  </si>
  <si>
    <t xml:space="preserve">Die Berechnung dient als Grundlage für Finanzierungsgespräche; sie ersetzt kein Schätzungsgutachten nach SVS/RICS und keine Kreditprüfung der Bank.</t>
  </si>
  <si>
    <t xml:space="preserve">Annahmen DCF und Finanzierung</t>
  </si>
  <si>
    <t xml:space="preserve">Blau = Eingabe · gelb = Schlüsselannahme · Schwarz = Formel · Beträge in CHF, sofern nicht anders angegeben</t>
  </si>
  <si>
    <t xml:space="preserve">ALLGEMEIN UND BEWERTUNG</t>
  </si>
  <si>
    <t xml:space="preserve">Parameter</t>
  </si>
  <si>
    <t xml:space="preserve">Wert</t>
  </si>
  <si>
    <t xml:space="preserve">Herleitung / Quelle</t>
  </si>
  <si>
    <t xml:space="preserve">Bewertungsstichtag</t>
  </si>
  <si>
    <t xml:space="preserve">30.09.2026</t>
  </si>
  <si>
    <t xml:space="preserve">Stand Renditebewertung Wasserschlosspark</t>
  </si>
  <si>
    <t xml:space="preserve">Erstes Modelljahr (t0)</t>
  </si>
  <si>
    <t xml:space="preserve">Jahr</t>
  </si>
  <si>
    <t xml:space="preserve">Cashflows jährlich, Jahresende</t>
  </si>
  <si>
    <t xml:space="preserve">Nettokapitalisierungssatz Portfolio (NOI-gewichtet)</t>
  </si>
  <si>
    <t xml:space="preserve">Nettoertrag stabil ÷ Ertragswert, Phasentabelle</t>
  </si>
  <si>
    <t xml:space="preserve">Mietwachstum p.a. (gewichtet)</t>
  </si>
  <si>
    <t xml:space="preserve">aus Renditebewertung je Nutzung</t>
  </si>
  <si>
    <t xml:space="preserve">Zuschlag Entwicklungs- und Projektrisiko</t>
  </si>
  <si>
    <t xml:space="preserve">Bau-, Bewilligungs- und Absorptionsrisiko</t>
  </si>
  <si>
    <t xml:space="preserve">Diskontierungssatz Projekt (nominal)</t>
  </si>
  <si>
    <t xml:space="preserve">Kap.satz + Wachstum + Projektzuschlag</t>
  </si>
  <si>
    <t xml:space="preserve">Zuschlag Exit-Kapitalisierungssatz</t>
  </si>
  <si>
    <t xml:space="preserve">Alterung bis Exit 2040</t>
  </si>
  <si>
    <t xml:space="preserve">Exit-Jahr (Terminal Value)</t>
  </si>
  <si>
    <t xml:space="preserve">Ende Betrachtungsperiode</t>
  </si>
  <si>
    <t xml:space="preserve">FINANZIERUNG</t>
  </si>
  <si>
    <t xml:space="preserve">Kreditlimit Baukredit in % der Anlagekosten (LTC)</t>
  </si>
  <si>
    <t xml:space="preserve">marktüblich</t>
  </si>
  <si>
    <t xml:space="preserve">Mindest-Eigenkapital in % der Anlagekosten</t>
  </si>
  <si>
    <t xml:space="preserve">Gegenstück zur LTC</t>
  </si>
  <si>
    <t xml:space="preserve">Zinssatz Baukredit / Hypothek all-in</t>
  </si>
  <si>
    <t xml:space="preserve">SARON + Marge, marktüblich</t>
  </si>
  <si>
    <t xml:space="preserve">Belehnung Hypothek in % Ertragswert (LTV)</t>
  </si>
  <si>
    <t xml:space="preserve">Konsolidierung nach Bezug</t>
  </si>
  <si>
    <t xml:space="preserve">Amortisation p.a. in % der Schuld</t>
  </si>
  <si>
    <t xml:space="preserve">ab Beginn Amortisation</t>
  </si>
  <si>
    <t xml:space="preserve">Beginn Amortisation</t>
  </si>
  <si>
    <t xml:space="preserve">erstes volles Jahr nach Bezug Phase C</t>
  </si>
  <si>
    <t xml:space="preserve">Mindest-DSCR (Covenant)</t>
  </si>
  <si>
    <t xml:space="preserve">Schuldendienstdeckung</t>
  </si>
  <si>
    <t xml:space="preserve">Landwert Einbringung als Eigenkapital (Sacheinlage)</t>
  </si>
  <si>
    <t xml:space="preserve">Residualwert Ertragswert-Basis, Gesamtmodell 28.09.2026</t>
  </si>
  <si>
    <t xml:space="preserve">Nebenkosten Planung arealweit</t>
  </si>
  <si>
    <t xml:space="preserve">Planungsbudget 10 Mio, davon NK</t>
  </si>
  <si>
    <t xml:space="preserve">PHASEN — KOSTEN, ERTRÄGE, VERKAUF (Quelle: Gesamtmodell Wasserschlosspark, 28.09.2026)</t>
  </si>
  <si>
    <t xml:space="preserve">Phase</t>
  </si>
  <si>
    <t xml:space="preserve">Projektteile</t>
  </si>
  <si>
    <t xml:space="preserve">HNF m²</t>
  </si>
  <si>
    <t xml:space="preserve">EK notwendig CHF</t>
  </si>
  <si>
    <t xml:space="preserve">davon Planungs-
budget CHF</t>
  </si>
  <si>
    <t xml:space="preserve">MP + NK + VK
+ Zins CHF</t>
  </si>
  <si>
    <t xml:space="preserve">Sollertrag
stabil CHF</t>
  </si>
  <si>
    <t xml:space="preserve">Ausfall
stabil</t>
  </si>
  <si>
    <t xml:space="preserve">Bewirt-
schaftung</t>
  </si>
  <si>
    <t xml:space="preserve">Ausfall Erst-
vermietung J1</t>
  </si>
  <si>
    <t xml:space="preserve">Miet-
wachstum</t>
  </si>
  <si>
    <t xml:space="preserve">Netto-Kap.-
satz</t>
  </si>
  <si>
    <t xml:space="preserve">Ertragswert
stabil CHF</t>
  </si>
  <si>
    <t xml:space="preserve">Erstes
Ertragsjahr</t>
  </si>
  <si>
    <t xml:space="preserve">Verkauf im
Mix (1/0)</t>
  </si>
  <si>
    <t xml:space="preserve">Verkaufs-
erlös CHF</t>
  </si>
  <si>
    <t xml:space="preserve">Vertriebs-
kosten</t>
  </si>
  <si>
    <t xml:space="preserve">Verkaufs-
jahr</t>
  </si>
  <si>
    <t xml:space="preserve">NOI stabil
CHF</t>
  </si>
  <si>
    <t xml:space="preserve">Phase A</t>
  </si>
  <si>
    <t xml:space="preserve">Villette I inkl. TG Villette</t>
  </si>
  <si>
    <t xml:space="preserve">Phase B</t>
  </si>
  <si>
    <t xml:space="preserve">Concierge ACE + Spitex Umbau inkl. öffentliche TG</t>
  </si>
  <si>
    <t xml:space="preserve">Phase D</t>
  </si>
  <si>
    <t xml:space="preserve">Campus Small + Campus Medium</t>
  </si>
  <si>
    <t xml:space="preserve">Phase C</t>
  </si>
  <si>
    <t xml:space="preserve">Villette II</t>
  </si>
  <si>
    <t xml:space="preserve">Total</t>
  </si>
  <si>
    <t xml:space="preserve">EK inkl. Planungsbudget der Phase (Budgetplanung +24 Monate). MP+NK+VK+Zins Phase C: Masterplan/Gestaltungsplan, Nebenkosten, Vertrieb und Zins gemäss Budgetplanung.</t>
  </si>
  <si>
    <t xml:space="preserve">Verkaufserlöse Mix: AK möglich gemäss Budgetplanung (Villette I 30 Mio, Villette II 77 Mio). Villette II: Vertriebskosten bereits in MP+NK+VK+Zins enthalten.</t>
  </si>
  <si>
    <t xml:space="preserve">BAUPROFIL — Anteil Baukosten (EK ohne Planung) je Jahr, gemäss Bauablauf 17.09.2026</t>
  </si>
  <si>
    <t xml:space="preserve">Baustart → Bezug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</si>
  <si>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</si>
  <si>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</si>
  <si>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</si>
  <si>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</si>
  <si>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</si>
  <si>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</si>
  <si>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</si>
  <si>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Summe</t>
  </si>
  <si>
    <t xml:space="preserve">Q1 2028 → Q1 2029</t>
  </si>
  <si>
    <t xml:space="preserve">Q2 2028 → Q4 2029</t>
  </si>
  <si>
    <t xml:space="preserve">Q2 2028 → Q1 2030</t>
  </si>
  <si>
    <t xml:space="preserve">Q1 2030 → Q4 2031 (Annahme)</t>
  </si>
  <si>
    <t xml:space="preserve">MITTELVERWENDUNG PLANUNG — Jahreswerte (aus Quartalsplan Q4 2026 – Q3 2028)</t>
  </si>
  <si>
    <t xml:space="preserve">Position</t>
  </si>
  <si>
    <t xml:space="preserve">Budget CHF</t>
  </si>
  <si>
    <t xml:space="preserve">Nebenkosten arealweit</t>
  </si>
  <si>
    <t xml:space="preserve">PROFIL MP + NK + VK + ZINS PHASE C</t>
  </si>
  <si>
    <t xml:space="preserve">Masterplan und Gestaltungsplan ab Zonenänderung 2027; Vertrieb und Zins im Mix-Szenario bei Verkauf Villette II.</t>
  </si>
  <si>
    <t xml:space="preserve">Investitionen und Anlagekosten je Jahr</t>
  </si>
  <si>
    <t xml:space="preserve">Mittelabfluss je Phase: Planung gemäss Mittelverwendung, Baukosten gemäss Bauprofil, Land als Sacheinlage in t0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</si>
  <si>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</si>
  <si>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</si>
  <si>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</si>
  <si>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</si>
  <si>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</si>
  <si>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</si>
  <si>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</si>
  <si>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</si>
  <si>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Planung</t>
  </si>
  <si>
    <t xml:space="preserve">Baukosten (EK ohne Planung)</t>
  </si>
  <si>
    <t xml:space="preserve">Masterplan + NK + VK + Zins</t>
  </si>
  <si>
    <t xml:space="preserve">Areal</t>
  </si>
  <si>
    <t xml:space="preserve">Cash-Investitionen total</t>
  </si>
  <si>
    <t xml:space="preserve">Land (Sacheinlage Eigenkapital)</t>
  </si>
  <si>
    <t xml:space="preserve">Anlagekosten total</t>
  </si>
  <si>
    <t xml:space="preserve">ANLAGEKOSTEN JE PHASE (ohne Land)</t>
  </si>
  <si>
    <t xml:space="preserve">Total CHF</t>
  </si>
  <si>
    <t xml:space="preserve">Anteil</t>
  </si>
  <si>
    <t xml:space="preserve">DCF und Finanzierung — Szenario Bestand</t>
  </si>
  <si>
    <t xml:space="preserve">Alle Phasen im Bestand</t>
  </si>
  <si>
    <t xml:space="preserve">Szenario-Schalter Verkauf (0 = Bestand, 1 = Mix)</t>
  </si>
  <si>
    <t xml:space="preserve">Total / Wert</t>
  </si>
  <si>
    <t xml:space="preserve">A  PROJEKT-CASHFLOW (unlevered)</t>
  </si>
  <si>
    <t xml:space="preserve">Nettoertrag (NOI)</t>
  </si>
  <si>
    <t xml:space="preserve">Nettoertrag total</t>
  </si>
  <si>
    <t xml:space="preserve">Verkaufserlös netto</t>
  </si>
  <si>
    <t xml:space="preserve">Verkaufserlöse total</t>
  </si>
  <si>
    <t xml:space="preserve">Cash-Investitionen</t>
  </si>
  <si>
    <t xml:space="preserve">Land (Sacheinlage)</t>
  </si>
  <si>
    <t xml:space="preserve">NOI 2041</t>
  </si>
  <si>
    <t xml:space="preserve">Kap.satz</t>
  </si>
  <si>
    <t xml:space="preserve">Terminal Value total</t>
  </si>
  <si>
    <t xml:space="preserve">Projekt-Cashflow (unlevered)</t>
  </si>
  <si>
    <t xml:space="preserve">Diskontfaktor</t>
  </si>
  <si>
    <t xml:space="preserve">Barwert</t>
  </si>
  <si>
    <t xml:space="preserve">Kumulierter Cashflow (Payback)</t>
  </si>
  <si>
    <t xml:space="preserve">B  FINANZIERUNG — Eigenkapital zuerst, danach Baukredit; Konsolidierung in Hypothek</t>
  </si>
  <si>
    <t xml:space="preserve">Finanzierungsbedarf (Cash-Investitionen)</t>
  </si>
  <si>
    <t xml:space="preserve">Erforderliches Bar-Eigenkapital (Mindest-EK − Land)</t>
  </si>
  <si>
    <t xml:space="preserve">Eigenkapital-Einschuss (bar)</t>
  </si>
  <si>
    <t xml:space="preserve">Kreditziehung</t>
  </si>
  <si>
    <t xml:space="preserve">Zinsen</t>
  </si>
  <si>
    <t xml:space="preserve">Amortisation</t>
  </si>
  <si>
    <t xml:space="preserve">Rückzahlung aus Verkauf</t>
  </si>
  <si>
    <t xml:space="preserve">Kapitalisierte Zinsen / Unterdeckung</t>
  </si>
  <si>
    <t xml:space="preserve">Kreditsaldo Jahresende</t>
  </si>
  <si>
    <t xml:space="preserve">Peak</t>
  </si>
  <si>
    <t xml:space="preserve">Ertragswert gehaltener, bezogener Phasen</t>
  </si>
  <si>
    <t xml:space="preserve">LTV (Kreditsaldo ÷ Ertragswert)</t>
  </si>
  <si>
    <t xml:space="preserve">LTC (Kreditsaldo ÷ Anlagekosten)</t>
  </si>
  <si>
    <t xml:space="preserve">DSCR (NOI ÷ Zins + Amortisation)</t>
  </si>
  <si>
    <t xml:space="preserve">ICR (NOI ÷ Zins)</t>
  </si>
  <si>
    <t xml:space="preserve">C  EIGENKAPITAL-CASHFLOW (levered)</t>
  </si>
  <si>
    <t xml:space="preserve">Ausschüttung aus Betrieb und Verkauf</t>
  </si>
  <si>
    <t xml:space="preserve">Eigenkapital-Cashflow</t>
  </si>
  <si>
    <t xml:space="preserve">D  KENNZAHLEN</t>
  </si>
  <si>
    <t xml:space="preserve">DCF und Finanzierung — Szenario Mix (Verkauf Villette I + II)</t>
  </si>
  <si>
    <t xml:space="preserve">Villette I (Phase A) und Villette II (Phase C) als Stockwerkeigentum verkauft; Phasen B und D im Bestand</t>
  </si>
  <si>
    <t xml:space="preserve">Sensitivitäten</t>
  </si>
  <si>
    <t xml:space="preserve">Projekt-NPV nach Diskontsatz und Exit-Kapitalisierung · DSCR nach Zinssatz und Ertragsausfall · alle Werte live aus den Szenarioblättern</t>
  </si>
  <si>
    <t xml:space="preserve">PROJEKT-NPV IN MIO CHF — SZENARIO BESTAND (Zeilen: Diskontsatz-Verschiebung, Spalten: Exit-Kap.satz-Zuschlag)</t>
  </si>
  <si>
    <t xml:space="preserve">Δ Diskontsatz / Δ Exit-Kap.satz</t>
  </si>
  <si>
    <t xml:space="preserve">+0.00 %</t>
  </si>
  <si>
    <t xml:space="preserve">+0.25 %</t>
  </si>
  <si>
    <t xml:space="preserve">+0.50 %</t>
  </si>
  <si>
    <t xml:space="preserve">+1.00 %</t>
  </si>
  <si>
    <t xml:space="preserve">-1.00 %-Pkt.</t>
  </si>
  <si>
    <t xml:space="preserve">-0.50 %-Pkt.</t>
  </si>
  <si>
    <t xml:space="preserve">+0.00 %-Pkt.</t>
  </si>
  <si>
    <t xml:space="preserve">+0.50 %-Pkt.</t>
  </si>
  <si>
    <t xml:space="preserve">+1.00 %-Pkt.</t>
  </si>
  <si>
    <t xml:space="preserve">PROJEKT-NPV IN MIO CHF — SZENARIO MIX (Zeilen: Diskontsatz-Verschiebung, Spalten: Exit-Kap.satz-Zuschlag)</t>
  </si>
  <si>
    <t xml:space="preserve">DSCR 2034 — SZENARIO BESTAND (Zeilen: Zinssatz, Spalten: Ertragsausfall auf NOI)</t>
  </si>
  <si>
    <t xml:space="preserve">Zinssatz all-in / NOI-Abschlag</t>
  </si>
  <si>
    <t xml:space="preserve">0 %</t>
  </si>
  <si>
    <t xml:space="preserve">−10 %</t>
  </si>
  <si>
    <t xml:space="preserve">−20 %</t>
  </si>
  <si>
    <t xml:space="preserve">−30 %</t>
  </si>
  <si>
    <t xml:space="preserve">1.50 %</t>
  </si>
  <si>
    <t xml:space="preserve">2.25 %</t>
  </si>
  <si>
    <t xml:space="preserve">3.00 %</t>
  </si>
  <si>
    <t xml:space="preserve">4.00 %</t>
  </si>
  <si>
    <t xml:space="preserve">5.00 %</t>
  </si>
  <si>
    <t xml:space="preserve">DSCR = Nettoertrag 2034 × (1 − Abschlag) ÷ (Kreditsaldo Ende 2033 × (Zinssatz + Amortisation)). Covenant-Grenze gemäss Annahmen (1.25x).</t>
  </si>
  <si>
    <t xml:space="preserve">VERKAUFSPREIS-STRESS — SZENARIO MIX (Verkaufserlöse Villette I + II tiefer)</t>
  </si>
  <si>
    <t xml:space="preserve">Abschlag Verkaufserlös</t>
  </si>
  <si>
    <t xml:space="preserve">Kreditsaldo 2032</t>
  </si>
  <si>
    <t xml:space="preserve">DSCR 2034</t>
  </si>
  <si>
    <t xml:space="preserve">Zusätzliches EK nötig (LTV)</t>
  </si>
  <si>
    <t xml:space="preserve">−0 %</t>
  </si>
  <si>
    <t xml:space="preserve">Vereinfachung: Mindererlös erhöht den Kreditsaldo 2032 im gleichen Betrag (ohne Zinseffekt). Im Mix bleiben die Phasen B und D im Bestand (Ertragswert 2033).</t>
  </si>
  <si>
    <t xml:space="preserve">Annahmen, Methodik und Quellen</t>
  </si>
  <si>
    <t xml:space="preserve">Protokoll zur Nachvollziehbarkeit für die finanzierende Bank</t>
  </si>
  <si>
    <t xml:space="preserve">Thema</t>
  </si>
  <si>
    <t xml:space="preserve">Festlegung</t>
  </si>
  <si>
    <t xml:space="preserve">Methode</t>
  </si>
  <si>
    <t xml:space="preserve">Jährlicher Discounted-Cashflow 2026–2040 je Phase, Terminal Value Ende 2040 (NOI 2041 ÷ Nettokap.satz + Exit-Zuschlag). Unlevered Projekt-Cashflow und levered Eigenkapital-Cashflow.</t>
  </si>
  <si>
    <t xml:space="preserve">Szenarien</t>
  </si>
  <si>
    <t xml:space="preserve">Bestand: alle Phasen als Renditeliegenschaft. Mix: Villette I (Phase A, 2029) und Villette II (Phase C, 2031) als Stockwerkeigentum verkauft, Phasen B und D im Bestand.</t>
  </si>
  <si>
    <t xml:space="preserve">Phasen und Termine</t>
  </si>
  <si>
    <t xml:space="preserve">A Villette I inkl. TG (Bezug Q1 2029) · B Concierge ACE + Spitex inkl. öffentliche TG (Q4 2029) · D Campus (Q1 2030) · C Villette II nach Zonenänderung (Q4 2031). Quelle: Bauablauf 17.09.2026; Baustart C Q1 2030 angenommen.</t>
  </si>
  <si>
    <t xml:space="preserve">Erträge</t>
  </si>
  <si>
    <t xml:space="preserve">Sollerträge je Phase aus der Renditebewertung (FPRE-Marktdaten Untersiggenthal Q3 2026, Szenario Basis), inkl. Eventsaal und öffentlicher Tiefgarage Concierge ACE. Erstvermietung: erhöhter Ausfall im ersten und zweiten Betriebsjahr.</t>
  </si>
  <si>
    <t xml:space="preserve">Erstellungskosten</t>
  </si>
  <si>
    <t xml:space="preserve">Volumenansätze: UG CHF 500/m³ für alle Baufelder, oberirdisch bisheriger Kennwert je Baufeld, Concierge CHF 700/m³. Planungsbudget CHF 10 Mio (davon NK 1.5 Mio) gemäss Mittelverwendung Q4 2026 – Q3 2028.</t>
  </si>
  <si>
    <t xml:space="preserve">Land</t>
  </si>
  <si>
    <t xml:space="preserve">Einbringung als Sacheinlage zum Residualwert auf Ertragswert-Basis (CHF 46.1 Mio).</t>
  </si>
  <si>
    <t xml:space="preserve">Finanzierung</t>
  </si>
  <si>
    <t xml:space="preserve">Bar-Eigenkapital zuerst bis zum Mindest-EK von 35 % der Anlagekosten, danach Baukredit. Zins all-in 2.25 % auf den durchschnittlichen Saldo; Unterdeckungen werden kapitalisiert. Ab 2033 Hypothek mit 1 % Amortisation. Verkaufserlöse tilgen zuerst den Kredit.</t>
  </si>
  <si>
    <t xml:space="preserve">Diskontierung</t>
  </si>
  <si>
    <t xml:space="preserve">Diskontsatz = NOI-gewichteter Nettokapitalisierungssatz + Mietwachstum + 1 %-Pkt. Projektrisikozuschlag.</t>
  </si>
  <si>
    <t xml:space="preserve">Nicht enthalten</t>
  </si>
  <si>
    <t xml:space="preserve">Steuern, heutige Bestandeserträge und -belastungen, Mehrwertsteuer-Effekte, Baurechtszinsen, Transaktionskosten beim Exit, Pläne.</t>
  </si>
  <si>
    <t xml:space="preserve">Quellen</t>
  </si>
  <si>
    <t xml:space="preserve">Wasserschlosspark Gesamtmodell (Urbanstreet, 28.09.2026) · Renditebewertung (23.08.2026, aktualisiert) · Übersichtstabelle Kennwerte WSP (bereinigt 28.09.2026) · Budgetplanung und Verkaufswert (TCO) · Bauablauf 17.09.2026 · Fahrländer Partner, Gemeindecheck Untersiggenthal Q3 2026.</t>
  </si>
  <si>
    <t xml:space="preserve">Autoren</t>
  </si>
  <si>
    <t xml:space="preserve">Patrick Hüppi (dipl. Arch. ETH/SIA, Exec. MBA HSG), Timothy Traub, Marlon Lehner — Urbanstreet Development AG, Gustav-Siber-Weg 4, 8700 Küsnacht.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</si>
</sst>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–"/>
    <numFmt numFmtId="166" formatCode="0.0%;\(0.0%\);\–"/>
    <numFmt numFmtId="167" formatCode="0.00\x;\(0.00&quot;x)&quot;;\–"/>
    <numFmt numFmtId="168" formatCode="0.00%;\(0.00%\);\–"/>
    <numFmt numFmtId="169" formatCode="0"/>
    <numFmt numFmtId="170" formatCode="0.0000"/>
    <numFmt numFmtId="171" formatCode="#,##0.0;\(#,##0.0\);\–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261A"/>
      <name val="Arial"/>
      <family val="0"/>
      <charset val="1"/>
    </font>
    <font>
      <i val="true"/>
      <sz val="9"/>
      <color rgb="FF68705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F261A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1F261A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5D603E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1F261A"/>
      <name val="Arial"/>
      <family val="0"/>
      <charset val="1"/>
    </font>
    <font>
      <sz val="8"/>
      <color rgb="FF68705F"/>
      <name val="Arial"/>
      <family val="0"/>
      <charset val="1"/>
    </font>
    <font>
      <b val="true"/>
      <sz val="8"/>
      <color rgb="FF68705F"/>
      <name val="Arial"/>
      <family val="0"/>
      <charset val="1"/>
    </font>
    <font>
      <b val="true"/>
      <sz val="10"/>
      <color rgb="FF6870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E3234"/>
        <bgColor rgb="FF1F261A"/>
      </patternFill>
    </fill>
    <fill>
      <patternFill patternType="solid">
        <fgColor rgb="FFFFFF00"/>
        <bgColor rgb="FFFFFF00"/>
      </patternFill>
    </fill>
    <fill>
      <patternFill patternType="solid">
        <fgColor rgb="FFEDF3DA"/>
        <bgColor rgb="FFDDE3C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E3C9"/>
      </bottom>
      <diagonal/>
    </border>
    <border diagonalUp="false" diagonalDown="false">
      <left/>
      <right/>
      <top style="thin">
        <color rgb="FFC6CFAA"/>
      </top>
      <bottom style="thin">
        <color rgb="FFC6CF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D603E"/>
      <rgbColor rgb="FF800080"/>
      <rgbColor rgb="FF008080"/>
      <rgbColor rgb="FFC6CFAA"/>
      <rgbColor rgb="FF808080"/>
      <rgbColor rgb="FF9999FF"/>
      <rgbColor rgb="FF993366"/>
      <rgbColor rgb="FFEDF3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3C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8705F"/>
      <rgbColor rgb="FF969696"/>
      <rgbColor rgb="FF003366"/>
      <rgbColor rgb="FF339966"/>
      <rgbColor rgb="FF003300"/>
      <rgbColor rgb="FF1F261A"/>
      <rgbColor rgb="FF993300"/>
      <rgbColor rgb="FF993366"/>
      <rgbColor rgb="FF333399"/>
      <rgbColor rgb="FF2E32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8"/>
  </cols>
  <sheetData>
    <row r="2" customFormat="false" ht="18.5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0" hidden="false" customHeight="true" outlineLevel="0" collapsed="false">
      <c r="B5" s="3" t="s">
        <v>2</v>
      </c>
      <c r="C5" s="4" t="s">
        <v>3</v>
      </c>
      <c r="D5" s="4" t="s">
        <v>4</v>
      </c>
      <c r="E5" s="4" t="s">
        <v>5</v>
      </c>
    </row>
    <row r="6" customFormat="false" ht="15" hidden="false" customHeight="false" outlineLevel="0" collapsed="false">
      <c r="B6" s="5" t="s">
        <v>6</v>
      </c>
      <c r="C6" s="6" t="n">
        <f aca="false">'03_DCF Bestand'!$C$52</f>
        <v>163772318</v>
      </c>
      <c r="D6" s="6" t="n">
        <f aca="false">'04_DCF Mix'!$C$52</f>
        <v>163772318</v>
      </c>
      <c r="E6" s="7" t="s">
        <v>7</v>
      </c>
    </row>
    <row r="7" customFormat="false" ht="15" hidden="false" customHeight="false" outlineLevel="0" collapsed="false">
      <c r="B7" s="7" t="s">
        <v>8</v>
      </c>
      <c r="C7" s="8" t="n">
        <f aca="false">'03_DCF Bestand'!$C$53</f>
        <v>46101459</v>
      </c>
      <c r="D7" s="8" t="n">
        <f aca="false">'04_DCF Mix'!$C$53</f>
        <v>46101459</v>
      </c>
      <c r="E7" s="7" t="s">
        <v>7</v>
      </c>
    </row>
    <row r="8" customFormat="false" ht="15" hidden="false" customHeight="false" outlineLevel="0" collapsed="false">
      <c r="B8" s="7" t="s">
        <v>9</v>
      </c>
      <c r="C8" s="8" t="n">
        <f aca="false">'03_DCF Bestand'!$C$54</f>
        <v>11218852.3</v>
      </c>
      <c r="D8" s="8" t="n">
        <f aca="false">'04_DCF Mix'!$C$54</f>
        <v>11218852.3</v>
      </c>
      <c r="E8" s="7" t="s">
        <v>7</v>
      </c>
    </row>
    <row r="9" customFormat="false" ht="15" hidden="false" customHeight="false" outlineLevel="0" collapsed="false">
      <c r="B9" s="7" t="s">
        <v>10</v>
      </c>
      <c r="C9" s="9" t="n">
        <f aca="false">'03_DCF Bestand'!$C$55</f>
        <v>0.35</v>
      </c>
      <c r="D9" s="9" t="n">
        <f aca="false">'04_DCF Mix'!$C$55</f>
        <v>0.35</v>
      </c>
      <c r="E9" s="7" t="s">
        <v>11</v>
      </c>
    </row>
    <row r="10" customFormat="false" ht="15" hidden="false" customHeight="false" outlineLevel="0" collapsed="false">
      <c r="B10" s="7" t="s">
        <v>12</v>
      </c>
      <c r="C10" s="8" t="n">
        <f aca="false">'03_DCF Bestand'!$C$56</f>
        <v>106452006.7</v>
      </c>
      <c r="D10" s="8" t="n">
        <f aca="false">'04_DCF Mix'!$C$56</f>
        <v>106452006.7</v>
      </c>
      <c r="E10" s="7" t="s">
        <v>7</v>
      </c>
    </row>
    <row r="11" customFormat="false" ht="15" hidden="false" customHeight="false" outlineLevel="0" collapsed="false">
      <c r="B11" s="5" t="s">
        <v>13</v>
      </c>
      <c r="C11" s="6" t="n">
        <f aca="false">'03_DCF Bestand'!$C$57</f>
        <v>107276620.715079</v>
      </c>
      <c r="D11" s="6" t="n">
        <f aca="false">'04_DCF Mix'!$C$57</f>
        <v>58912961.7350788</v>
      </c>
      <c r="E11" s="7" t="s">
        <v>7</v>
      </c>
    </row>
    <row r="12" customFormat="false" ht="15" hidden="false" customHeight="false" outlineLevel="0" collapsed="false">
      <c r="B12" s="5" t="s">
        <v>14</v>
      </c>
      <c r="C12" s="10" t="n">
        <f aca="false">'03_DCF Bestand'!$C$58</f>
        <v>0.655035124526227</v>
      </c>
      <c r="D12" s="10" t="n">
        <f aca="false">'04_DCF Mix'!$C$58</f>
        <v>0.359724784105936</v>
      </c>
      <c r="E12" s="7" t="s">
        <v>11</v>
      </c>
    </row>
    <row r="13" customFormat="false" ht="15" hidden="false" customHeight="false" outlineLevel="0" collapsed="false">
      <c r="B13" s="7" t="s">
        <v>15</v>
      </c>
      <c r="C13" s="8" t="n">
        <f aca="false">'03_DCF Bestand'!$C$59</f>
        <v>107276620.715079</v>
      </c>
      <c r="D13" s="8" t="n">
        <f aca="false">'04_DCF Mix'!$C$59</f>
        <v>1654378.23507875</v>
      </c>
      <c r="E13" s="7" t="s">
        <v>7</v>
      </c>
    </row>
    <row r="14" customFormat="false" ht="15" hidden="false" customHeight="false" outlineLevel="0" collapsed="false">
      <c r="B14" s="7" t="s">
        <v>16</v>
      </c>
      <c r="C14" s="8" t="n">
        <f aca="false">'03_DCF Bestand'!$C$60</f>
        <v>162270708.100021</v>
      </c>
      <c r="D14" s="8" t="n">
        <f aca="false">'04_DCF Mix'!$C$60</f>
        <v>72891499.9523255</v>
      </c>
      <c r="E14" s="7" t="s">
        <v>7</v>
      </c>
    </row>
    <row r="15" customFormat="false" ht="15" hidden="false" customHeight="false" outlineLevel="0" collapsed="false">
      <c r="B15" s="7" t="s">
        <v>17</v>
      </c>
      <c r="C15" s="8" t="n">
        <f aca="false">'03_DCF Bestand'!$C$61</f>
        <v>97362424.8600123</v>
      </c>
      <c r="D15" s="8" t="n">
        <f aca="false">'04_DCF Mix'!$C$61</f>
        <v>43734899.9713953</v>
      </c>
      <c r="E15" s="7" t="s">
        <v>7</v>
      </c>
    </row>
    <row r="16" customFormat="false" ht="15" hidden="false" customHeight="false" outlineLevel="0" collapsed="false">
      <c r="B16" s="5" t="s">
        <v>18</v>
      </c>
      <c r="C16" s="6" t="n">
        <f aca="false">'03_DCF Bestand'!$C$62</f>
        <v>9914195.85506645</v>
      </c>
      <c r="D16" s="6" t="n">
        <f aca="false">'04_DCF Mix'!$C$62</f>
        <v>0</v>
      </c>
      <c r="E16" s="7" t="s">
        <v>7</v>
      </c>
    </row>
    <row r="17" customFormat="false" ht="15" hidden="false" customHeight="false" outlineLevel="0" collapsed="false">
      <c r="B17" s="7" t="s">
        <v>19</v>
      </c>
      <c r="C17" s="9" t="n">
        <f aca="false">'03_DCF Bestand'!$C$63</f>
        <v>0.654485678601131</v>
      </c>
      <c r="D17" s="9" t="n">
        <f aca="false">'04_DCF Mix'!$C$63</f>
        <v>0.0224694848342974</v>
      </c>
      <c r="E17" s="7" t="s">
        <v>11</v>
      </c>
    </row>
    <row r="18" customFormat="false" ht="15" hidden="false" customHeight="false" outlineLevel="0" collapsed="false">
      <c r="B18" s="5" t="s">
        <v>20</v>
      </c>
      <c r="C18" s="11" t="n">
        <f aca="false">'03_DCF Bestand'!$C$64</f>
        <v>1.82814359312656</v>
      </c>
      <c r="D18" s="11" t="n">
        <f aca="false">'04_DCF Mix'!$C$64</f>
        <v>67.4507534815618</v>
      </c>
      <c r="E18" s="7" t="s">
        <v>21</v>
      </c>
    </row>
    <row r="19" customFormat="false" ht="15" hidden="false" customHeight="false" outlineLevel="0" collapsed="false">
      <c r="B19" s="7" t="s">
        <v>22</v>
      </c>
      <c r="C19" s="12" t="n">
        <f aca="false">'03_DCF Bestand'!$C$65</f>
        <v>2.64065185673836</v>
      </c>
      <c r="D19" s="12" t="n">
        <f aca="false">'04_DCF Mix'!$C$65</f>
        <v>97.4288661400338</v>
      </c>
      <c r="E19" s="7" t="s">
        <v>21</v>
      </c>
    </row>
    <row r="20" customFormat="false" ht="15" hidden="false" customHeight="false" outlineLevel="0" collapsed="false">
      <c r="B20" s="7" t="s">
        <v>23</v>
      </c>
      <c r="C20" s="8" t="n">
        <f aca="false">'03_DCF Bestand'!$C$66</f>
        <v>6373804.67270751</v>
      </c>
      <c r="D20" s="8" t="n">
        <f aca="false">'04_DCF Mix'!$C$66</f>
        <v>3626644.40123564</v>
      </c>
      <c r="E20" s="7" t="s">
        <v>7</v>
      </c>
    </row>
    <row r="21" customFormat="false" ht="15" hidden="false" customHeight="false" outlineLevel="0" collapsed="false">
      <c r="B21" s="7" t="s">
        <v>24</v>
      </c>
      <c r="C21" s="8" t="n">
        <f aca="false">'03_DCF Bestand'!$C$67</f>
        <v>0</v>
      </c>
      <c r="D21" s="8" t="n">
        <f aca="false">'04_DCF Mix'!$C$67</f>
        <v>106250000</v>
      </c>
      <c r="E21" s="7" t="s">
        <v>7</v>
      </c>
    </row>
    <row r="22" customFormat="false" ht="15" hidden="false" customHeight="false" outlineLevel="0" collapsed="false">
      <c r="B22" s="5" t="s">
        <v>25</v>
      </c>
      <c r="C22" s="6" t="n">
        <f aca="false">'03_DCF Bestand'!$C$68</f>
        <v>-28475603.8129778</v>
      </c>
      <c r="D22" s="6" t="n">
        <f aca="false">'04_DCF Mix'!$C$68</f>
        <v>-5936249.30863811</v>
      </c>
      <c r="E22" s="7" t="s">
        <v>7</v>
      </c>
    </row>
    <row r="23" customFormat="false" ht="15" hidden="false" customHeight="false" outlineLevel="0" collapsed="false">
      <c r="B23" s="7" t="s">
        <v>26</v>
      </c>
      <c r="C23" s="13" t="n">
        <f aca="false">'03_DCF Bestand'!$C$69</f>
        <v>0.0373865942682886</v>
      </c>
      <c r="D23" s="13" t="n">
        <f aca="false">'04_DCF Mix'!$C$69</f>
        <v>0.051652123589766</v>
      </c>
      <c r="E23" s="7" t="s">
        <v>11</v>
      </c>
    </row>
    <row r="24" customFormat="false" ht="15" hidden="false" customHeight="false" outlineLevel="0" collapsed="false">
      <c r="B24" s="5" t="s">
        <v>27</v>
      </c>
      <c r="C24" s="14" t="n">
        <f aca="false">'03_DCF Bestand'!$C$70</f>
        <v>0.0526792796103743</v>
      </c>
      <c r="D24" s="14" t="n">
        <f aca="false">'04_DCF Mix'!$C$70</f>
        <v>0.0550428129907122</v>
      </c>
      <c r="E24" s="7" t="s">
        <v>11</v>
      </c>
    </row>
    <row r="25" customFormat="false" ht="15" hidden="false" customHeight="false" outlineLevel="0" collapsed="false">
      <c r="B25" s="7" t="s">
        <v>28</v>
      </c>
      <c r="C25" s="12" t="n">
        <f aca="false">'03_DCF Bestand'!$C$71</f>
        <v>1.87312660559688</v>
      </c>
      <c r="D25" s="12" t="n">
        <f aca="false">'04_DCF Mix'!$C$71</f>
        <v>1.92714497459589</v>
      </c>
      <c r="E25" s="7" t="s">
        <v>21</v>
      </c>
    </row>
    <row r="26" customFormat="false" ht="15" hidden="false" customHeight="false" outlineLevel="0" collapsed="false">
      <c r="B26" s="7" t="s">
        <v>29</v>
      </c>
      <c r="C26" s="8" t="n">
        <f aca="false">'03_DCF Bestand'!$C$72</f>
        <v>171720520.581037</v>
      </c>
      <c r="D26" s="8" t="n">
        <f aca="false">'04_DCF Mix'!$C$72</f>
        <v>77088587.1334667</v>
      </c>
      <c r="E26" s="7" t="s">
        <v>7</v>
      </c>
    </row>
    <row r="27" customFormat="false" ht="15" hidden="false" customHeight="false" outlineLevel="0" collapsed="false">
      <c r="B27" s="7" t="s">
        <v>30</v>
      </c>
      <c r="C27" s="8" t="n">
        <f aca="false">'03_DCF Bestand'!$C$73</f>
        <v>76267819.5050773</v>
      </c>
      <c r="D27" s="8" t="n">
        <f aca="false">'04_DCF Mix'!$C$73</f>
        <v>34238065.605107</v>
      </c>
      <c r="E27" s="7" t="s">
        <v>7</v>
      </c>
    </row>
    <row r="28" customFormat="false" ht="15" hidden="false" customHeight="false" outlineLevel="0" collapsed="false">
      <c r="B28" s="7" t="s">
        <v>31</v>
      </c>
      <c r="C28" s="8" t="n">
        <f aca="false">'03_DCF Bestand'!$C$77</f>
        <v>17625855.1870222</v>
      </c>
      <c r="D28" s="8" t="n">
        <f aca="false">'04_DCF Mix'!$C$77</f>
        <v>40165209.6913619</v>
      </c>
      <c r="E28" s="7" t="s">
        <v>7</v>
      </c>
    </row>
    <row r="29" customFormat="false" ht="15" hidden="false" customHeight="false" outlineLevel="0" collapsed="false">
      <c r="B29" s="7" t="s">
        <v>32</v>
      </c>
      <c r="C29" s="15" t="str">
        <f aca="false">'03_DCF Bestand'!$C$74</f>
        <v>ja</v>
      </c>
      <c r="D29" s="15" t="str">
        <f aca="false">'04_DCF Mix'!$C$74</f>
        <v>ja</v>
      </c>
      <c r="E29" s="7"/>
    </row>
    <row r="30" customFormat="false" ht="15" hidden="false" customHeight="false" outlineLevel="0" collapsed="false">
      <c r="B30" s="7" t="s">
        <v>33</v>
      </c>
      <c r="C30" s="15" t="str">
        <f aca="false">'03_DCF Bestand'!$C$75</f>
        <v>nein</v>
      </c>
      <c r="D30" s="15" t="str">
        <f aca="false">'04_DCF Mix'!$C$75</f>
        <v>ja</v>
      </c>
      <c r="E30" s="7"/>
    </row>
    <row r="31" customFormat="false" ht="15" hidden="false" customHeight="false" outlineLevel="0" collapsed="false">
      <c r="B31" s="7" t="s">
        <v>34</v>
      </c>
      <c r="C31" s="8" t="n">
        <f aca="false">'03_DCF Bestand'!$C$76</f>
        <v>824614.015078753</v>
      </c>
      <c r="D31" s="8" t="n">
        <f aca="false">'04_DCF Mix'!$C$76</f>
        <v>0</v>
      </c>
      <c r="E31" s="7" t="s">
        <v>7</v>
      </c>
    </row>
    <row r="33" customFormat="false" ht="15" hidden="false" customHeight="false" outlineLevel="0" collapsed="false">
      <c r="B33" s="7" t="s">
        <v>35</v>
      </c>
      <c r="C33" s="13" t="n">
        <f aca="false">01_Annahmen!$C$12</f>
        <v>0.0596860195857894</v>
      </c>
    </row>
    <row r="34" customFormat="false" ht="15" hidden="false" customHeight="false" outlineLevel="0" collapsed="false">
      <c r="B34" s="7" t="s">
        <v>36</v>
      </c>
      <c r="C34" s="13" t="n">
        <f aca="false">01_Annahmen!$C$20</f>
        <v>0.0225</v>
      </c>
    </row>
    <row r="35" customFormat="false" ht="15" hidden="false" customHeight="false" outlineLevel="0" collapsed="false">
      <c r="B35" s="7" t="s">
        <v>37</v>
      </c>
      <c r="C35" s="9" t="n">
        <f aca="false">01_Annahmen!$C$18</f>
        <v>0.65</v>
      </c>
      <c r="D35" s="9" t="n">
        <f aca="false">01_Annahmen!$C$21</f>
        <v>0.6</v>
      </c>
    </row>
    <row r="37" customFormat="false" ht="15" hidden="false" customHeight="false" outlineLevel="0" collapsed="false">
      <c r="B37" s="2" t="s">
        <v>38</v>
      </c>
    </row>
    <row r="38" customFormat="false" ht="15" hidden="false" customHeight="false" outlineLevel="0" collapsed="false">
      <c r="B38" s="2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T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38"/>
    <col collapsed="false" customWidth="true" hidden="false" outlineLevel="0" max="4" min="4" style="0" width="12"/>
    <col collapsed="false" customWidth="true" hidden="false" outlineLevel="0" max="6" min="5" style="0" width="14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3" min="12" style="0" width="10"/>
    <col collapsed="false" customWidth="true" hidden="false" outlineLevel="0" max="14" min="14" style="0" width="14"/>
    <col collapsed="false" customWidth="true" hidden="false" outlineLevel="0" max="16" min="15" style="0" width="10"/>
    <col collapsed="false" customWidth="true" hidden="false" outlineLevel="0" max="17" min="17" style="0" width="13"/>
    <col collapsed="false" customWidth="true" hidden="false" outlineLevel="0" max="19" min="18" style="0" width="10"/>
    <col collapsed="false" customWidth="true" hidden="false" outlineLevel="0" max="20" min="20" style="0" width="13"/>
  </cols>
  <sheetData>
    <row r="2" customFormat="false" ht="18.55" hidden="false" customHeight="false" outlineLevel="0" collapsed="false">
      <c r="B2" s="1" t="s">
        <v>40</v>
      </c>
    </row>
    <row r="3" customFormat="false" ht="15" hidden="false" customHeight="false" outlineLevel="0" collapsed="false">
      <c r="B3" s="2" t="s">
        <v>41</v>
      </c>
    </row>
    <row r="5" customFormat="false" ht="15" hidden="false" customHeight="false" outlineLevel="0" collapsed="false">
      <c r="B5" s="16" t="s">
        <v>42</v>
      </c>
    </row>
    <row r="6" customFormat="false" ht="19.5" hidden="false" customHeight="true" outlineLevel="0" collapsed="false">
      <c r="B6" s="3" t="s">
        <v>43</v>
      </c>
      <c r="C6" s="4" t="s">
        <v>44</v>
      </c>
      <c r="D6" s="4" t="s">
        <v>5</v>
      </c>
      <c r="E6" s="4" t="s">
        <v>45</v>
      </c>
    </row>
    <row r="7" customFormat="false" ht="15" hidden="false" customHeight="false" outlineLevel="0" collapsed="false">
      <c r="B7" s="7" t="s">
        <v>46</v>
      </c>
      <c r="C7" s="17" t="s">
        <v>47</v>
      </c>
      <c r="D7" s="7"/>
      <c r="E7" s="18" t="s">
        <v>48</v>
      </c>
    </row>
    <row r="8" customFormat="false" ht="15" hidden="false" customHeight="false" outlineLevel="0" collapsed="false">
      <c r="B8" s="7" t="s">
        <v>49</v>
      </c>
      <c r="C8" s="19" t="n">
        <v>2026</v>
      </c>
      <c r="D8" s="7" t="s">
        <v>50</v>
      </c>
      <c r="E8" s="18" t="s">
        <v>51</v>
      </c>
    </row>
    <row r="9" customFormat="false" ht="15" hidden="false" customHeight="false" outlineLevel="0" collapsed="false">
      <c r="B9" s="7" t="s">
        <v>52</v>
      </c>
      <c r="C9" s="20" t="n">
        <f aca="false">SUMPRODUCT(T30:T33)/SUMPRODUCT(N30:N33)</f>
        <v>0.0408725891404375</v>
      </c>
      <c r="D9" s="7" t="s">
        <v>11</v>
      </c>
      <c r="E9" s="18" t="s">
        <v>53</v>
      </c>
    </row>
    <row r="10" customFormat="false" ht="15" hidden="false" customHeight="false" outlineLevel="0" collapsed="false">
      <c r="B10" s="7" t="s">
        <v>54</v>
      </c>
      <c r="C10" s="20" t="n">
        <f aca="false">SUMPRODUCT(H30:H33,L30:L33)/SUM(H30:H33)</f>
        <v>0.00881343044535196</v>
      </c>
      <c r="D10" s="7" t="s">
        <v>11</v>
      </c>
      <c r="E10" s="18" t="s">
        <v>55</v>
      </c>
    </row>
    <row r="11" customFormat="false" ht="15" hidden="false" customHeight="false" outlineLevel="0" collapsed="false">
      <c r="B11" s="7" t="s">
        <v>56</v>
      </c>
      <c r="C11" s="21" t="n">
        <v>0.01</v>
      </c>
      <c r="D11" s="7" t="s">
        <v>11</v>
      </c>
      <c r="E11" s="18" t="s">
        <v>57</v>
      </c>
    </row>
    <row r="12" customFormat="false" ht="15" hidden="false" customHeight="false" outlineLevel="0" collapsed="false">
      <c r="B12" s="7" t="s">
        <v>58</v>
      </c>
      <c r="C12" s="22" t="n">
        <f aca="false">C9+C10+C11</f>
        <v>0.0596860195857894</v>
      </c>
      <c r="D12" s="7" t="s">
        <v>11</v>
      </c>
      <c r="E12" s="18" t="s">
        <v>59</v>
      </c>
    </row>
    <row r="13" customFormat="false" ht="15" hidden="false" customHeight="false" outlineLevel="0" collapsed="false">
      <c r="B13" s="7" t="s">
        <v>60</v>
      </c>
      <c r="C13" s="23" t="n">
        <v>0.0015</v>
      </c>
      <c r="D13" s="7" t="s">
        <v>11</v>
      </c>
      <c r="E13" s="18" t="s">
        <v>61</v>
      </c>
    </row>
    <row r="14" customFormat="false" ht="15" hidden="false" customHeight="false" outlineLevel="0" collapsed="false">
      <c r="B14" s="7" t="s">
        <v>62</v>
      </c>
      <c r="C14" s="19" t="n">
        <v>2040</v>
      </c>
      <c r="D14" s="7" t="s">
        <v>50</v>
      </c>
      <c r="E14" s="18" t="s">
        <v>63</v>
      </c>
    </row>
    <row r="16" customFormat="false" ht="15" hidden="false" customHeight="false" outlineLevel="0" collapsed="false">
      <c r="B16" s="16" t="s">
        <v>64</v>
      </c>
    </row>
    <row r="17" customFormat="false" ht="19.5" hidden="false" customHeight="true" outlineLevel="0" collapsed="false">
      <c r="B17" s="3" t="s">
        <v>43</v>
      </c>
      <c r="C17" s="4" t="s">
        <v>44</v>
      </c>
      <c r="D17" s="4" t="s">
        <v>5</v>
      </c>
      <c r="E17" s="4" t="s">
        <v>45</v>
      </c>
    </row>
    <row r="18" customFormat="false" ht="15" hidden="false" customHeight="false" outlineLevel="0" collapsed="false">
      <c r="B18" s="7" t="s">
        <v>65</v>
      </c>
      <c r="C18" s="24" t="n">
        <v>0.65</v>
      </c>
      <c r="D18" s="7" t="s">
        <v>11</v>
      </c>
      <c r="E18" s="18" t="s">
        <v>66</v>
      </c>
    </row>
    <row r="19" customFormat="false" ht="15" hidden="false" customHeight="false" outlineLevel="0" collapsed="false">
      <c r="B19" s="7" t="s">
        <v>67</v>
      </c>
      <c r="C19" s="25" t="n">
        <v>0.35</v>
      </c>
      <c r="D19" s="7" t="s">
        <v>11</v>
      </c>
      <c r="E19" s="18" t="s">
        <v>68</v>
      </c>
    </row>
    <row r="20" customFormat="false" ht="15" hidden="false" customHeight="false" outlineLevel="0" collapsed="false">
      <c r="B20" s="7" t="s">
        <v>69</v>
      </c>
      <c r="C20" s="21" t="n">
        <v>0.0225</v>
      </c>
      <c r="D20" s="7" t="s">
        <v>11</v>
      </c>
      <c r="E20" s="18" t="s">
        <v>70</v>
      </c>
    </row>
    <row r="21" customFormat="false" ht="15" hidden="false" customHeight="false" outlineLevel="0" collapsed="false">
      <c r="B21" s="7" t="s">
        <v>71</v>
      </c>
      <c r="C21" s="24" t="n">
        <v>0.6</v>
      </c>
      <c r="D21" s="7" t="s">
        <v>11</v>
      </c>
      <c r="E21" s="18" t="s">
        <v>72</v>
      </c>
    </row>
    <row r="22" customFormat="false" ht="15" hidden="false" customHeight="false" outlineLevel="0" collapsed="false">
      <c r="B22" s="7" t="s">
        <v>73</v>
      </c>
      <c r="C22" s="23" t="n">
        <v>0.01</v>
      </c>
      <c r="D22" s="7" t="s">
        <v>11</v>
      </c>
      <c r="E22" s="18" t="s">
        <v>74</v>
      </c>
    </row>
    <row r="23" customFormat="false" ht="15" hidden="false" customHeight="false" outlineLevel="0" collapsed="false">
      <c r="B23" s="7" t="s">
        <v>75</v>
      </c>
      <c r="C23" s="19" t="n">
        <v>2033</v>
      </c>
      <c r="D23" s="7" t="s">
        <v>50</v>
      </c>
      <c r="E23" s="18" t="s">
        <v>76</v>
      </c>
    </row>
    <row r="24" customFormat="false" ht="15" hidden="false" customHeight="false" outlineLevel="0" collapsed="false">
      <c r="B24" s="7" t="s">
        <v>77</v>
      </c>
      <c r="C24" s="26" t="n">
        <v>1.25</v>
      </c>
      <c r="D24" s="7" t="s">
        <v>21</v>
      </c>
      <c r="E24" s="18" t="s">
        <v>78</v>
      </c>
    </row>
    <row r="25" customFormat="false" ht="15" hidden="false" customHeight="false" outlineLevel="0" collapsed="false">
      <c r="B25" s="7" t="s">
        <v>79</v>
      </c>
      <c r="C25" s="27" t="n">
        <v>46101459</v>
      </c>
      <c r="D25" s="7" t="s">
        <v>7</v>
      </c>
      <c r="E25" s="18" t="s">
        <v>80</v>
      </c>
    </row>
    <row r="26" customFormat="false" ht="15" hidden="false" customHeight="false" outlineLevel="0" collapsed="false">
      <c r="B26" s="7" t="s">
        <v>81</v>
      </c>
      <c r="C26" s="28" t="n">
        <v>1500000</v>
      </c>
      <c r="D26" s="7" t="s">
        <v>7</v>
      </c>
      <c r="E26" s="18" t="s">
        <v>82</v>
      </c>
    </row>
    <row r="28" customFormat="false" ht="15" hidden="false" customHeight="false" outlineLevel="0" collapsed="false">
      <c r="B28" s="16" t="s">
        <v>83</v>
      </c>
    </row>
    <row r="29" customFormat="false" ht="43.5" hidden="false" customHeight="true" outlineLevel="0" collapsed="false">
      <c r="B29" s="3" t="s">
        <v>84</v>
      </c>
      <c r="C29" s="4" t="s">
        <v>85</v>
      </c>
      <c r="D29" s="4" t="s">
        <v>86</v>
      </c>
      <c r="E29" s="4" t="s">
        <v>87</v>
      </c>
      <c r="F29" s="4" t="s">
        <v>88</v>
      </c>
      <c r="G29" s="4" t="s">
        <v>89</v>
      </c>
      <c r="H29" s="4" t="s">
        <v>90</v>
      </c>
      <c r="I29" s="4" t="s">
        <v>91</v>
      </c>
      <c r="J29" s="4" t="s">
        <v>92</v>
      </c>
      <c r="K29" s="4" t="s">
        <v>93</v>
      </c>
      <c r="L29" s="4" t="s">
        <v>94</v>
      </c>
      <c r="M29" s="4" t="s">
        <v>95</v>
      </c>
      <c r="N29" s="4" t="s">
        <v>96</v>
      </c>
      <c r="O29" s="4" t="s">
        <v>97</v>
      </c>
      <c r="P29" s="4" t="s">
        <v>98</v>
      </c>
      <c r="Q29" s="4" t="s">
        <v>99</v>
      </c>
      <c r="R29" s="4" t="s">
        <v>100</v>
      </c>
      <c r="S29" s="4" t="s">
        <v>101</v>
      </c>
      <c r="T29" s="4" t="s">
        <v>102</v>
      </c>
    </row>
    <row r="30" customFormat="false" ht="15" hidden="false" customHeight="false" outlineLevel="0" collapsed="false">
      <c r="B30" s="5" t="s">
        <v>103</v>
      </c>
      <c r="C30" s="7" t="s">
        <v>104</v>
      </c>
      <c r="D30" s="28" t="n">
        <v>3614</v>
      </c>
      <c r="E30" s="27" t="n">
        <v>19515675</v>
      </c>
      <c r="F30" s="28" t="n">
        <v>3500000</v>
      </c>
      <c r="G30" s="28" t="n">
        <v>0</v>
      </c>
      <c r="H30" s="27" t="n">
        <v>1207226</v>
      </c>
      <c r="I30" s="25" t="n">
        <v>0.022</v>
      </c>
      <c r="J30" s="25" t="n">
        <v>0.1267</v>
      </c>
      <c r="K30" s="25" t="n">
        <v>0.3533</v>
      </c>
      <c r="L30" s="23" t="n">
        <v>0.01</v>
      </c>
      <c r="M30" s="21" t="n">
        <v>0.03458</v>
      </c>
      <c r="N30" s="29" t="n">
        <f aca="false">T30/M30</f>
        <v>29719823.4181608</v>
      </c>
      <c r="O30" s="30" t="n">
        <v>2029</v>
      </c>
      <c r="P30" s="19" t="n">
        <v>1</v>
      </c>
      <c r="Q30" s="27" t="n">
        <v>30000000</v>
      </c>
      <c r="R30" s="25" t="n">
        <v>0.025</v>
      </c>
      <c r="S30" s="19" t="n">
        <v>2029</v>
      </c>
      <c r="T30" s="29" t="n">
        <f aca="false">H30*(1-I30-J30)</f>
        <v>1027711.4938</v>
      </c>
    </row>
    <row r="31" customFormat="false" ht="15" hidden="false" customHeight="false" outlineLevel="0" collapsed="false">
      <c r="B31" s="5" t="s">
        <v>105</v>
      </c>
      <c r="C31" s="7" t="s">
        <v>106</v>
      </c>
      <c r="D31" s="28" t="n">
        <v>4922.35</v>
      </c>
      <c r="E31" s="27" t="n">
        <v>23808623</v>
      </c>
      <c r="F31" s="28" t="n">
        <v>2500000</v>
      </c>
      <c r="G31" s="28" t="n">
        <v>0</v>
      </c>
      <c r="H31" s="27" t="n">
        <v>2174758</v>
      </c>
      <c r="I31" s="25" t="n">
        <v>0.0543</v>
      </c>
      <c r="J31" s="25" t="n">
        <v>0.197</v>
      </c>
      <c r="K31" s="25" t="n">
        <v>0.4267</v>
      </c>
      <c r="L31" s="23" t="n">
        <v>0.0082</v>
      </c>
      <c r="M31" s="21" t="n">
        <v>0.04543</v>
      </c>
      <c r="N31" s="29" t="n">
        <f aca="false">T31/M31</f>
        <v>35840662.8791547</v>
      </c>
      <c r="O31" s="30" t="n">
        <v>2030</v>
      </c>
      <c r="P31" s="19" t="n">
        <v>0</v>
      </c>
      <c r="Q31" s="28" t="n">
        <v>0</v>
      </c>
      <c r="R31" s="25" t="n">
        <v>0</v>
      </c>
      <c r="S31" s="19" t="n">
        <v>2030</v>
      </c>
      <c r="T31" s="29" t="n">
        <f aca="false">H31*(1-I31-J31)</f>
        <v>1628241.3146</v>
      </c>
    </row>
    <row r="32" customFormat="false" ht="15" hidden="false" customHeight="false" outlineLevel="0" collapsed="false">
      <c r="B32" s="5" t="s">
        <v>107</v>
      </c>
      <c r="C32" s="7" t="s">
        <v>108</v>
      </c>
      <c r="D32" s="28" t="n">
        <v>6443</v>
      </c>
      <c r="E32" s="27" t="n">
        <v>27263728</v>
      </c>
      <c r="F32" s="28" t="n">
        <v>2000000</v>
      </c>
      <c r="G32" s="28" t="n">
        <v>0</v>
      </c>
      <c r="H32" s="27" t="n">
        <v>2450136</v>
      </c>
      <c r="I32" s="25" t="n">
        <v>0.067</v>
      </c>
      <c r="J32" s="25" t="n">
        <v>0.1518</v>
      </c>
      <c r="K32" s="25" t="n">
        <v>0.4351</v>
      </c>
      <c r="L32" s="23" t="n">
        <v>0.0076</v>
      </c>
      <c r="M32" s="21" t="n">
        <v>0.05166</v>
      </c>
      <c r="N32" s="29" t="n">
        <f aca="false">T32/M32</f>
        <v>37050837.0731707</v>
      </c>
      <c r="O32" s="30" t="n">
        <v>2030</v>
      </c>
      <c r="P32" s="19" t="n">
        <v>0</v>
      </c>
      <c r="Q32" s="28" t="n">
        <v>0</v>
      </c>
      <c r="R32" s="25" t="n">
        <v>0</v>
      </c>
      <c r="S32" s="19" t="n">
        <v>2030</v>
      </c>
      <c r="T32" s="29" t="n">
        <f aca="false">H32*(1-I32-J32)</f>
        <v>1914046.2432</v>
      </c>
    </row>
    <row r="33" customFormat="false" ht="15" hidden="false" customHeight="false" outlineLevel="0" collapsed="false">
      <c r="B33" s="5" t="s">
        <v>109</v>
      </c>
      <c r="C33" s="7" t="s">
        <v>110</v>
      </c>
      <c r="D33" s="28" t="n">
        <v>7249</v>
      </c>
      <c r="E33" s="27" t="n">
        <v>38582833</v>
      </c>
      <c r="F33" s="28" t="n">
        <v>500000</v>
      </c>
      <c r="G33" s="28" t="n">
        <v>7000000</v>
      </c>
      <c r="H33" s="27" t="n">
        <v>2422677</v>
      </c>
      <c r="I33" s="25" t="n">
        <v>0.022</v>
      </c>
      <c r="J33" s="25" t="n">
        <v>0.1267</v>
      </c>
      <c r="K33" s="25" t="n">
        <v>0.3533</v>
      </c>
      <c r="L33" s="23" t="n">
        <v>0.01</v>
      </c>
      <c r="M33" s="21" t="n">
        <v>0.03457</v>
      </c>
      <c r="N33" s="29" t="n">
        <f aca="false">T33/M33</f>
        <v>59659384.7295343</v>
      </c>
      <c r="O33" s="30" t="n">
        <v>2032</v>
      </c>
      <c r="P33" s="19" t="n">
        <v>1</v>
      </c>
      <c r="Q33" s="27" t="n">
        <v>77000000</v>
      </c>
      <c r="R33" s="25" t="n">
        <v>0</v>
      </c>
      <c r="S33" s="19" t="n">
        <v>2031</v>
      </c>
      <c r="T33" s="29" t="n">
        <f aca="false">H33*(1-I33-J33)</f>
        <v>2062424.9301</v>
      </c>
    </row>
    <row r="34" customFormat="false" ht="15" hidden="false" customHeight="false" outlineLevel="0" collapsed="false">
      <c r="B34" s="31"/>
      <c r="C34" s="31" t="s">
        <v>111</v>
      </c>
      <c r="D34" s="32" t="n">
        <f aca="false">SUM(D30:D33)</f>
        <v>22228.35</v>
      </c>
      <c r="E34" s="32" t="n">
        <f aca="false">SUM(E30:E33)</f>
        <v>109170859</v>
      </c>
      <c r="F34" s="32" t="n">
        <f aca="false">SUM(F30:F33)</f>
        <v>8500000</v>
      </c>
      <c r="G34" s="32" t="n">
        <f aca="false">SUM(G30:G33)</f>
        <v>7000000</v>
      </c>
      <c r="H34" s="32" t="n">
        <f aca="false">SUM(H30:H33)</f>
        <v>8254797</v>
      </c>
      <c r="I34" s="31"/>
      <c r="J34" s="31"/>
      <c r="K34" s="31"/>
      <c r="L34" s="31"/>
      <c r="M34" s="31"/>
      <c r="N34" s="32" t="n">
        <f aca="false">SUM(N30:N33)</f>
        <v>162270708.100021</v>
      </c>
      <c r="O34" s="31"/>
      <c r="P34" s="31"/>
      <c r="Q34" s="32" t="n">
        <f aca="false">SUM(Q30:Q33)</f>
        <v>107000000</v>
      </c>
      <c r="R34" s="31"/>
      <c r="S34" s="31"/>
      <c r="T34" s="32" t="n">
        <f aca="false">SUM(T30:T33)</f>
        <v>6632423.9817</v>
      </c>
    </row>
    <row r="35" customFormat="false" ht="15" hidden="false" customHeight="false" outlineLevel="0" collapsed="false">
      <c r="B35" s="2" t="s">
        <v>112</v>
      </c>
    </row>
    <row r="36" customFormat="false" ht="15" hidden="false" customHeight="false" outlineLevel="0" collapsed="false">
      <c r="B36" s="2" t="s">
        <v>113</v>
      </c>
    </row>
    <row r="38" customFormat="false" ht="15" hidden="false" customHeight="false" outlineLevel="0" collapsed="false">
      <c r="B38" s="16" t="s">
        <v>114</v>
      </c>
    </row>
    <row r="39" customFormat="false" ht="21.75" hidden="false" customHeight="true" outlineLevel="0" collapsed="false">
      <c r="B39" s="3" t="s">
        <v>84</v>
      </c>
      <c r="C39" s="4" t="s">
        <v>115</v>
      </c>
      <c r="D39" s="4" t="s">
        <v>116</v>
      </c>
      <c r="E39" s="4" t="s">
        <v>117</v>
      </c>
      <c r="F39" s="4" t="s">
        <v>118</v>
      </c>
      <c r="G39" s="4" t="s">
        <v>119</v>
      </c>
      <c r="H39" s="4" t="s">
        <v>120</v>
      </c>
      <c r="I39" s="4" t="s">
        <v>121</v>
      </c>
      <c r="J39" s="4" t="s">
        <v>122</v>
      </c>
      <c r="K39" s="4" t="s">
        <v>123</v>
      </c>
    </row>
    <row r="40" customFormat="false" ht="15" hidden="false" customHeight="false" outlineLevel="0" collapsed="false">
      <c r="B40" s="5" t="s">
        <v>103</v>
      </c>
      <c r="C40" s="7" t="s">
        <v>124</v>
      </c>
      <c r="D40" s="25" t="n">
        <v>0</v>
      </c>
      <c r="E40" s="25" t="n">
        <v>0</v>
      </c>
      <c r="F40" s="24" t="n">
        <v>0.9</v>
      </c>
      <c r="G40" s="24" t="n">
        <v>0.1</v>
      </c>
      <c r="H40" s="25" t="n">
        <v>0</v>
      </c>
      <c r="I40" s="25" t="n">
        <v>0</v>
      </c>
      <c r="J40" s="25" t="n">
        <v>0</v>
      </c>
      <c r="K40" s="33" t="n">
        <f aca="false">SUM(D40:J40)</f>
        <v>1</v>
      </c>
    </row>
    <row r="41" customFormat="false" ht="15" hidden="false" customHeight="false" outlineLevel="0" collapsed="false">
      <c r="B41" s="5" t="s">
        <v>105</v>
      </c>
      <c r="C41" s="7" t="s">
        <v>125</v>
      </c>
      <c r="D41" s="25" t="n">
        <v>0</v>
      </c>
      <c r="E41" s="25" t="n">
        <v>0</v>
      </c>
      <c r="F41" s="24" t="n">
        <v>0.4</v>
      </c>
      <c r="G41" s="24" t="n">
        <v>0.6</v>
      </c>
      <c r="H41" s="25" t="n">
        <v>0</v>
      </c>
      <c r="I41" s="25" t="n">
        <v>0</v>
      </c>
      <c r="J41" s="25" t="n">
        <v>0</v>
      </c>
      <c r="K41" s="33" t="n">
        <f aca="false">SUM(D41:J41)</f>
        <v>1</v>
      </c>
    </row>
    <row r="42" customFormat="false" ht="15" hidden="false" customHeight="false" outlineLevel="0" collapsed="false">
      <c r="B42" s="5" t="s">
        <v>107</v>
      </c>
      <c r="C42" s="7" t="s">
        <v>126</v>
      </c>
      <c r="D42" s="25" t="n">
        <v>0</v>
      </c>
      <c r="E42" s="25" t="n">
        <v>0</v>
      </c>
      <c r="F42" s="24" t="n">
        <v>0.35</v>
      </c>
      <c r="G42" s="24" t="n">
        <v>0.55</v>
      </c>
      <c r="H42" s="24" t="n">
        <v>0.1</v>
      </c>
      <c r="I42" s="25" t="n">
        <v>0</v>
      </c>
      <c r="J42" s="25" t="n">
        <v>0</v>
      </c>
      <c r="K42" s="33" t="n">
        <f aca="false">SUM(D42:J42)</f>
        <v>1</v>
      </c>
    </row>
    <row r="43" customFormat="false" ht="15" hidden="false" customHeight="false" outlineLevel="0" collapsed="false">
      <c r="B43" s="5" t="s">
        <v>109</v>
      </c>
      <c r="C43" s="7" t="s">
        <v>127</v>
      </c>
      <c r="D43" s="25" t="n">
        <v>0</v>
      </c>
      <c r="E43" s="25" t="n">
        <v>0</v>
      </c>
      <c r="F43" s="25" t="n">
        <v>0</v>
      </c>
      <c r="G43" s="25" t="n">
        <v>0</v>
      </c>
      <c r="H43" s="24" t="n">
        <v>0.5</v>
      </c>
      <c r="I43" s="24" t="n">
        <v>0.5</v>
      </c>
      <c r="J43" s="25" t="n">
        <v>0</v>
      </c>
      <c r="K43" s="33" t="n">
        <f aca="false">SUM(D43:J43)</f>
        <v>1</v>
      </c>
    </row>
    <row r="45" customFormat="false" ht="15" hidden="false" customHeight="false" outlineLevel="0" collapsed="false">
      <c r="B45" s="16" t="s">
        <v>128</v>
      </c>
    </row>
    <row r="46" customFormat="false" ht="21.75" hidden="false" customHeight="true" outlineLevel="0" collapsed="false">
      <c r="B46" s="3" t="s">
        <v>129</v>
      </c>
      <c r="C46" s="4" t="s">
        <v>130</v>
      </c>
      <c r="D46" s="4" t="s">
        <v>116</v>
      </c>
      <c r="E46" s="4" t="s">
        <v>117</v>
      </c>
      <c r="F46" s="4" t="s">
        <v>118</v>
      </c>
      <c r="G46" s="4" t="s">
        <v>123</v>
      </c>
    </row>
    <row r="47" customFormat="false" ht="15" hidden="false" customHeight="false" outlineLevel="0" collapsed="false">
      <c r="B47" s="5" t="s">
        <v>103</v>
      </c>
      <c r="C47" s="29" t="n">
        <f aca="false">F30</f>
        <v>3500000</v>
      </c>
      <c r="D47" s="28" t="n">
        <v>525000</v>
      </c>
      <c r="E47" s="28" t="n">
        <v>2100000</v>
      </c>
      <c r="F47" s="28" t="n">
        <v>875000</v>
      </c>
      <c r="G47" s="34" t="n">
        <f aca="false">SUM(D47:F47)</f>
        <v>3500000</v>
      </c>
    </row>
    <row r="48" customFormat="false" ht="15" hidden="false" customHeight="false" outlineLevel="0" collapsed="false">
      <c r="B48" s="5" t="s">
        <v>105</v>
      </c>
      <c r="C48" s="29" t="n">
        <f aca="false">F31</f>
        <v>2500000</v>
      </c>
      <c r="D48" s="28" t="n">
        <v>250000</v>
      </c>
      <c r="E48" s="28" t="n">
        <v>1375000</v>
      </c>
      <c r="F48" s="28" t="n">
        <v>875000</v>
      </c>
      <c r="G48" s="34" t="n">
        <f aca="false">SUM(D48:F48)</f>
        <v>2500000</v>
      </c>
    </row>
    <row r="49" customFormat="false" ht="15" hidden="false" customHeight="false" outlineLevel="0" collapsed="false">
      <c r="B49" s="5" t="s">
        <v>107</v>
      </c>
      <c r="C49" s="29" t="n">
        <f aca="false">F32</f>
        <v>2000000</v>
      </c>
      <c r="D49" s="28" t="n">
        <v>200000</v>
      </c>
      <c r="E49" s="28" t="n">
        <v>1100000</v>
      </c>
      <c r="F49" s="28" t="n">
        <v>700000</v>
      </c>
      <c r="G49" s="34" t="n">
        <f aca="false">SUM(D49:F49)</f>
        <v>2000000</v>
      </c>
    </row>
    <row r="50" customFormat="false" ht="15" hidden="false" customHeight="false" outlineLevel="0" collapsed="false">
      <c r="B50" s="5" t="s">
        <v>109</v>
      </c>
      <c r="C50" s="29" t="n">
        <f aca="false">F33</f>
        <v>500000</v>
      </c>
      <c r="D50" s="28" t="n">
        <v>100000</v>
      </c>
      <c r="E50" s="28" t="n">
        <v>350000</v>
      </c>
      <c r="F50" s="28" t="n">
        <v>50000</v>
      </c>
      <c r="G50" s="34" t="n">
        <f aca="false">SUM(D50:F50)</f>
        <v>500000</v>
      </c>
    </row>
    <row r="51" customFormat="false" ht="15" hidden="false" customHeight="false" outlineLevel="0" collapsed="false">
      <c r="B51" s="5" t="s">
        <v>131</v>
      </c>
      <c r="C51" s="29" t="n">
        <f aca="false">C26</f>
        <v>1500000</v>
      </c>
      <c r="D51" s="28" t="n">
        <v>187500</v>
      </c>
      <c r="E51" s="28" t="n">
        <v>750000</v>
      </c>
      <c r="F51" s="28" t="n">
        <v>562500</v>
      </c>
      <c r="G51" s="34" t="n">
        <f aca="false">SUM(D51:F51)</f>
        <v>1500000</v>
      </c>
    </row>
    <row r="53" customFormat="false" ht="15" hidden="false" customHeight="false" outlineLevel="0" collapsed="false">
      <c r="B53" s="16" t="s">
        <v>132</v>
      </c>
    </row>
    <row r="54" customFormat="false" ht="21.75" hidden="false" customHeight="true" outlineLevel="0" collapsed="false">
      <c r="B54" s="3" t="s">
        <v>129</v>
      </c>
      <c r="C54" s="4"/>
      <c r="D54" s="4" t="s">
        <v>117</v>
      </c>
      <c r="E54" s="4" t="s">
        <v>118</v>
      </c>
      <c r="F54" s="4" t="s">
        <v>119</v>
      </c>
      <c r="G54" s="4" t="s">
        <v>120</v>
      </c>
      <c r="H54" s="4" t="s">
        <v>121</v>
      </c>
      <c r="I54" s="4" t="s">
        <v>123</v>
      </c>
    </row>
    <row r="55" customFormat="false" ht="15" hidden="false" customHeight="false" outlineLevel="0" collapsed="false">
      <c r="B55" s="5" t="s">
        <v>109</v>
      </c>
      <c r="D55" s="25" t="n">
        <v>0.1</v>
      </c>
      <c r="E55" s="25" t="n">
        <v>0.2</v>
      </c>
      <c r="F55" s="25" t="n">
        <v>0.3</v>
      </c>
      <c r="G55" s="25" t="n">
        <v>0.3</v>
      </c>
      <c r="H55" s="25" t="n">
        <v>0.1</v>
      </c>
      <c r="I55" s="33" t="n">
        <f aca="false">SUM(D55:H55)</f>
        <v>1</v>
      </c>
    </row>
    <row r="56" customFormat="false" ht="15" hidden="false" customHeight="false" outlineLevel="0" collapsed="false">
      <c r="B56" s="2" t="s">
        <v>133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S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19" min="5" style="0" width="12"/>
  </cols>
  <sheetData>
    <row r="2" customFormat="false" ht="18.55" hidden="false" customHeight="false" outlineLevel="0" collapsed="false">
      <c r="B2" s="1" t="s">
        <v>134</v>
      </c>
    </row>
    <row r="3" customFormat="false" ht="15" hidden="false" customHeight="false" outlineLevel="0" collapsed="false">
      <c r="B3" s="2" t="s">
        <v>135</v>
      </c>
    </row>
    <row r="5" customFormat="false" ht="21.75" hidden="false" customHeight="true" outlineLevel="0" collapsed="false">
      <c r="B5" s="3" t="s">
        <v>129</v>
      </c>
      <c r="C5" s="4" t="s">
        <v>84</v>
      </c>
      <c r="D5" s="4" t="s">
        <v>111</v>
      </c>
      <c r="E5" s="4" t="s">
        <v>116</v>
      </c>
      <c r="F5" s="4" t="s">
        <v>117</v>
      </c>
      <c r="G5" s="4" t="s">
        <v>118</v>
      </c>
      <c r="H5" s="4" t="s">
        <v>119</v>
      </c>
      <c r="I5" s="4" t="s">
        <v>120</v>
      </c>
      <c r="J5" s="4" t="s">
        <v>121</v>
      </c>
      <c r="K5" s="4" t="s">
        <v>122</v>
      </c>
      <c r="L5" s="4" t="s">
        <v>136</v>
      </c>
      <c r="M5" s="4" t="s">
        <v>137</v>
      </c>
      <c r="N5" s="4" t="s">
        <v>138</v>
      </c>
      <c r="O5" s="4" t="s">
        <v>139</v>
      </c>
      <c r="P5" s="4" t="s">
        <v>140</v>
      </c>
      <c r="Q5" s="4" t="s">
        <v>141</v>
      </c>
      <c r="R5" s="4" t="s">
        <v>142</v>
      </c>
      <c r="S5" s="4" t="s">
        <v>143</v>
      </c>
    </row>
    <row r="6" customFormat="false" ht="15" hidden="false" customHeight="false" outlineLevel="0" collapsed="false">
      <c r="B6" s="7" t="s">
        <v>144</v>
      </c>
      <c r="C6" s="7" t="s">
        <v>103</v>
      </c>
      <c r="D6" s="34" t="n">
        <f aca="false">SUM(E6:S6)</f>
        <v>3500000</v>
      </c>
      <c r="E6" s="29" t="n">
        <f aca="false">01_Annahmen!D47</f>
        <v>525000</v>
      </c>
      <c r="F6" s="29" t="n">
        <f aca="false">01_Annahmen!E47</f>
        <v>2100000</v>
      </c>
      <c r="G6" s="29" t="n">
        <f aca="false">01_Annahmen!F47</f>
        <v>875000</v>
      </c>
      <c r="H6" s="29" t="n">
        <v>0</v>
      </c>
      <c r="I6" s="29" t="n">
        <v>0</v>
      </c>
      <c r="J6" s="29" t="n">
        <v>0</v>
      </c>
      <c r="K6" s="29" t="n">
        <v>0</v>
      </c>
      <c r="L6" s="29" t="n">
        <v>0</v>
      </c>
      <c r="M6" s="29" t="n">
        <v>0</v>
      </c>
      <c r="N6" s="29" t="n">
        <v>0</v>
      </c>
      <c r="O6" s="29" t="n">
        <v>0</v>
      </c>
      <c r="P6" s="29" t="n">
        <v>0</v>
      </c>
      <c r="Q6" s="29" t="n">
        <v>0</v>
      </c>
      <c r="R6" s="29" t="n">
        <v>0</v>
      </c>
      <c r="S6" s="29" t="n">
        <v>0</v>
      </c>
    </row>
    <row r="7" customFormat="false" ht="15" hidden="false" customHeight="false" outlineLevel="0" collapsed="false">
      <c r="B7" s="7" t="s">
        <v>145</v>
      </c>
      <c r="C7" s="7" t="s">
        <v>103</v>
      </c>
      <c r="D7" s="34" t="n">
        <f aca="false">SUM(E7:S7)</f>
        <v>16015675</v>
      </c>
      <c r="E7" s="29" t="n">
        <f aca="false">(01_Annahmen!$E$30-01_Annahmen!$F$30)*01_Annahmen!D40</f>
        <v>0</v>
      </c>
      <c r="F7" s="29" t="n">
        <f aca="false">(01_Annahmen!$E$30-01_Annahmen!$F$30)*01_Annahmen!E40</f>
        <v>0</v>
      </c>
      <c r="G7" s="29" t="n">
        <f aca="false">(01_Annahmen!$E$30-01_Annahmen!$F$30)*01_Annahmen!F40</f>
        <v>14414107.5</v>
      </c>
      <c r="H7" s="29" t="n">
        <f aca="false">(01_Annahmen!$E$30-01_Annahmen!$F$30)*01_Annahmen!G40</f>
        <v>1601567.5</v>
      </c>
      <c r="I7" s="29" t="n">
        <f aca="false">(01_Annahmen!$E$30-01_Annahmen!$F$30)*01_Annahmen!H40</f>
        <v>0</v>
      </c>
      <c r="J7" s="29" t="n">
        <f aca="false">(01_Annahmen!$E$30-01_Annahmen!$F$30)*01_Annahmen!I40</f>
        <v>0</v>
      </c>
      <c r="K7" s="29" t="n">
        <f aca="false">(01_Annahmen!$E$30-01_Annahmen!$F$30)*01_Annahmen!J40</f>
        <v>0</v>
      </c>
      <c r="L7" s="29" t="n">
        <v>0</v>
      </c>
      <c r="M7" s="29" t="n">
        <v>0</v>
      </c>
      <c r="N7" s="29" t="n">
        <v>0</v>
      </c>
      <c r="O7" s="29" t="n">
        <v>0</v>
      </c>
      <c r="P7" s="29" t="n">
        <v>0</v>
      </c>
      <c r="Q7" s="29" t="n">
        <v>0</v>
      </c>
      <c r="R7" s="29" t="n">
        <v>0</v>
      </c>
      <c r="S7" s="29" t="n">
        <v>0</v>
      </c>
    </row>
    <row r="8" customFormat="false" ht="15" hidden="false" customHeight="false" outlineLevel="0" collapsed="false">
      <c r="B8" s="7" t="s">
        <v>144</v>
      </c>
      <c r="C8" s="7" t="s">
        <v>105</v>
      </c>
      <c r="D8" s="34" t="n">
        <f aca="false">SUM(E8:S8)</f>
        <v>2500000</v>
      </c>
      <c r="E8" s="29" t="n">
        <f aca="false">01_Annahmen!D48</f>
        <v>250000</v>
      </c>
      <c r="F8" s="29" t="n">
        <f aca="false">01_Annahmen!E48</f>
        <v>1375000</v>
      </c>
      <c r="G8" s="29" t="n">
        <f aca="false">01_Annahmen!F48</f>
        <v>875000</v>
      </c>
      <c r="H8" s="29" t="n">
        <v>0</v>
      </c>
      <c r="I8" s="29" t="n">
        <v>0</v>
      </c>
      <c r="J8" s="29" t="n">
        <v>0</v>
      </c>
      <c r="K8" s="29" t="n">
        <v>0</v>
      </c>
      <c r="L8" s="29" t="n">
        <v>0</v>
      </c>
      <c r="M8" s="29" t="n">
        <v>0</v>
      </c>
      <c r="N8" s="29" t="n">
        <v>0</v>
      </c>
      <c r="O8" s="29" t="n">
        <v>0</v>
      </c>
      <c r="P8" s="29" t="n">
        <v>0</v>
      </c>
      <c r="Q8" s="29" t="n">
        <v>0</v>
      </c>
      <c r="R8" s="29" t="n">
        <v>0</v>
      </c>
      <c r="S8" s="29" t="n">
        <v>0</v>
      </c>
    </row>
    <row r="9" customFormat="false" ht="15" hidden="false" customHeight="false" outlineLevel="0" collapsed="false">
      <c r="B9" s="7" t="s">
        <v>145</v>
      </c>
      <c r="C9" s="7" t="s">
        <v>105</v>
      </c>
      <c r="D9" s="34" t="n">
        <f aca="false">SUM(E9:S9)</f>
        <v>21308623</v>
      </c>
      <c r="E9" s="29" t="n">
        <f aca="false">(01_Annahmen!$E$31-01_Annahmen!$F$31)*01_Annahmen!D41</f>
        <v>0</v>
      </c>
      <c r="F9" s="29" t="n">
        <f aca="false">(01_Annahmen!$E$31-01_Annahmen!$F$31)*01_Annahmen!E41</f>
        <v>0</v>
      </c>
      <c r="G9" s="29" t="n">
        <f aca="false">(01_Annahmen!$E$31-01_Annahmen!$F$31)*01_Annahmen!F41</f>
        <v>8523449.2</v>
      </c>
      <c r="H9" s="29" t="n">
        <f aca="false">(01_Annahmen!$E$31-01_Annahmen!$F$31)*01_Annahmen!G41</f>
        <v>12785173.8</v>
      </c>
      <c r="I9" s="29" t="n">
        <f aca="false">(01_Annahmen!$E$31-01_Annahmen!$F$31)*01_Annahmen!H41</f>
        <v>0</v>
      </c>
      <c r="J9" s="29" t="n">
        <f aca="false">(01_Annahmen!$E$31-01_Annahmen!$F$31)*01_Annahmen!I41</f>
        <v>0</v>
      </c>
      <c r="K9" s="29" t="n">
        <f aca="false">(01_Annahmen!$E$31-01_Annahmen!$F$31)*01_Annahmen!J41</f>
        <v>0</v>
      </c>
      <c r="L9" s="29" t="n">
        <v>0</v>
      </c>
      <c r="M9" s="29" t="n">
        <v>0</v>
      </c>
      <c r="N9" s="29" t="n">
        <v>0</v>
      </c>
      <c r="O9" s="29" t="n">
        <v>0</v>
      </c>
      <c r="P9" s="29" t="n">
        <v>0</v>
      </c>
      <c r="Q9" s="29" t="n">
        <v>0</v>
      </c>
      <c r="R9" s="29" t="n">
        <v>0</v>
      </c>
      <c r="S9" s="29" t="n">
        <v>0</v>
      </c>
    </row>
    <row r="10" customFormat="false" ht="15" hidden="false" customHeight="false" outlineLevel="0" collapsed="false">
      <c r="B10" s="7" t="s">
        <v>144</v>
      </c>
      <c r="C10" s="7" t="s">
        <v>107</v>
      </c>
      <c r="D10" s="34" t="n">
        <f aca="false">SUM(E10:S10)</f>
        <v>2000000</v>
      </c>
      <c r="E10" s="29" t="n">
        <f aca="false">01_Annahmen!D49</f>
        <v>200000</v>
      </c>
      <c r="F10" s="29" t="n">
        <f aca="false">01_Annahmen!E49</f>
        <v>1100000</v>
      </c>
      <c r="G10" s="29" t="n">
        <f aca="false">01_Annahmen!F49</f>
        <v>700000</v>
      </c>
      <c r="H10" s="29" t="n">
        <v>0</v>
      </c>
      <c r="I10" s="29" t="n">
        <v>0</v>
      </c>
      <c r="J10" s="29" t="n">
        <v>0</v>
      </c>
      <c r="K10" s="29" t="n">
        <v>0</v>
      </c>
      <c r="L10" s="29" t="n">
        <v>0</v>
      </c>
      <c r="M10" s="29" t="n">
        <v>0</v>
      </c>
      <c r="N10" s="29" t="n">
        <v>0</v>
      </c>
      <c r="O10" s="29" t="n">
        <v>0</v>
      </c>
      <c r="P10" s="29" t="n">
        <v>0</v>
      </c>
      <c r="Q10" s="29" t="n">
        <v>0</v>
      </c>
      <c r="R10" s="29" t="n">
        <v>0</v>
      </c>
      <c r="S10" s="29" t="n">
        <v>0</v>
      </c>
    </row>
    <row r="11" customFormat="false" ht="15" hidden="false" customHeight="false" outlineLevel="0" collapsed="false">
      <c r="B11" s="7" t="s">
        <v>145</v>
      </c>
      <c r="C11" s="7" t="s">
        <v>107</v>
      </c>
      <c r="D11" s="34" t="n">
        <f aca="false">SUM(E11:S11)</f>
        <v>25263728</v>
      </c>
      <c r="E11" s="29" t="n">
        <f aca="false">(01_Annahmen!$E$32-01_Annahmen!$F$32)*01_Annahmen!D42</f>
        <v>0</v>
      </c>
      <c r="F11" s="29" t="n">
        <f aca="false">(01_Annahmen!$E$32-01_Annahmen!$F$32)*01_Annahmen!E42</f>
        <v>0</v>
      </c>
      <c r="G11" s="29" t="n">
        <f aca="false">(01_Annahmen!$E$32-01_Annahmen!$F$32)*01_Annahmen!F42</f>
        <v>8842304.8</v>
      </c>
      <c r="H11" s="29" t="n">
        <f aca="false">(01_Annahmen!$E$32-01_Annahmen!$F$32)*01_Annahmen!G42</f>
        <v>13895050.4</v>
      </c>
      <c r="I11" s="29" t="n">
        <f aca="false">(01_Annahmen!$E$32-01_Annahmen!$F$32)*01_Annahmen!H42</f>
        <v>2526372.8</v>
      </c>
      <c r="J11" s="29" t="n">
        <f aca="false">(01_Annahmen!$E$32-01_Annahmen!$F$32)*01_Annahmen!I42</f>
        <v>0</v>
      </c>
      <c r="K11" s="29" t="n">
        <f aca="false">(01_Annahmen!$E$32-01_Annahmen!$F$32)*01_Annahmen!J42</f>
        <v>0</v>
      </c>
      <c r="L11" s="29" t="n">
        <v>0</v>
      </c>
      <c r="M11" s="29" t="n">
        <v>0</v>
      </c>
      <c r="N11" s="29" t="n">
        <v>0</v>
      </c>
      <c r="O11" s="29" t="n">
        <v>0</v>
      </c>
      <c r="P11" s="29" t="n">
        <v>0</v>
      </c>
      <c r="Q11" s="29" t="n">
        <v>0</v>
      </c>
      <c r="R11" s="29" t="n">
        <v>0</v>
      </c>
      <c r="S11" s="29" t="n">
        <v>0</v>
      </c>
    </row>
    <row r="12" customFormat="false" ht="15" hidden="false" customHeight="false" outlineLevel="0" collapsed="false">
      <c r="B12" s="7" t="s">
        <v>144</v>
      </c>
      <c r="C12" s="7" t="s">
        <v>109</v>
      </c>
      <c r="D12" s="34" t="n">
        <f aca="false">SUM(E12:S12)</f>
        <v>500000</v>
      </c>
      <c r="E12" s="29" t="n">
        <f aca="false">01_Annahmen!D50</f>
        <v>100000</v>
      </c>
      <c r="F12" s="29" t="n">
        <f aca="false">01_Annahmen!E50</f>
        <v>350000</v>
      </c>
      <c r="G12" s="29" t="n">
        <f aca="false">01_Annahmen!F50</f>
        <v>50000</v>
      </c>
      <c r="H12" s="29" t="n">
        <v>0</v>
      </c>
      <c r="I12" s="29" t="n">
        <v>0</v>
      </c>
      <c r="J12" s="29" t="n">
        <v>0</v>
      </c>
      <c r="K12" s="29" t="n">
        <v>0</v>
      </c>
      <c r="L12" s="29" t="n">
        <v>0</v>
      </c>
      <c r="M12" s="29" t="n">
        <v>0</v>
      </c>
      <c r="N12" s="29" t="n">
        <v>0</v>
      </c>
      <c r="O12" s="29" t="n">
        <v>0</v>
      </c>
      <c r="P12" s="29" t="n">
        <v>0</v>
      </c>
      <c r="Q12" s="29" t="n">
        <v>0</v>
      </c>
      <c r="R12" s="29" t="n">
        <v>0</v>
      </c>
      <c r="S12" s="29" t="n">
        <v>0</v>
      </c>
    </row>
    <row r="13" customFormat="false" ht="15" hidden="false" customHeight="false" outlineLevel="0" collapsed="false">
      <c r="B13" s="7" t="s">
        <v>145</v>
      </c>
      <c r="C13" s="7" t="s">
        <v>109</v>
      </c>
      <c r="D13" s="34" t="n">
        <f aca="false">SUM(E13:S13)</f>
        <v>38082833</v>
      </c>
      <c r="E13" s="29" t="n">
        <f aca="false">(01_Annahmen!$E$33-01_Annahmen!$F$33)*01_Annahmen!D43</f>
        <v>0</v>
      </c>
      <c r="F13" s="29" t="n">
        <f aca="false">(01_Annahmen!$E$33-01_Annahmen!$F$33)*01_Annahmen!E43</f>
        <v>0</v>
      </c>
      <c r="G13" s="29" t="n">
        <f aca="false">(01_Annahmen!$E$33-01_Annahmen!$F$33)*01_Annahmen!F43</f>
        <v>0</v>
      </c>
      <c r="H13" s="29" t="n">
        <f aca="false">(01_Annahmen!$E$33-01_Annahmen!$F$33)*01_Annahmen!G43</f>
        <v>0</v>
      </c>
      <c r="I13" s="29" t="n">
        <f aca="false">(01_Annahmen!$E$33-01_Annahmen!$F$33)*01_Annahmen!H43</f>
        <v>19041416.5</v>
      </c>
      <c r="J13" s="29" t="n">
        <f aca="false">(01_Annahmen!$E$33-01_Annahmen!$F$33)*01_Annahmen!I43</f>
        <v>19041416.5</v>
      </c>
      <c r="K13" s="29" t="n">
        <f aca="false">(01_Annahmen!$E$33-01_Annahmen!$F$33)*01_Annahmen!J43</f>
        <v>0</v>
      </c>
      <c r="L13" s="29" t="n">
        <v>0</v>
      </c>
      <c r="M13" s="29" t="n">
        <v>0</v>
      </c>
      <c r="N13" s="29" t="n">
        <v>0</v>
      </c>
      <c r="O13" s="29" t="n">
        <v>0</v>
      </c>
      <c r="P13" s="29" t="n">
        <v>0</v>
      </c>
      <c r="Q13" s="29" t="n">
        <v>0</v>
      </c>
      <c r="R13" s="29" t="n">
        <v>0</v>
      </c>
      <c r="S13" s="29" t="n">
        <v>0</v>
      </c>
    </row>
    <row r="14" customFormat="false" ht="15" hidden="false" customHeight="false" outlineLevel="0" collapsed="false">
      <c r="B14" s="7" t="s">
        <v>146</v>
      </c>
      <c r="C14" s="7" t="s">
        <v>109</v>
      </c>
      <c r="D14" s="34" t="n">
        <f aca="false">SUM(E14:S14)</f>
        <v>7000000</v>
      </c>
      <c r="E14" s="29" t="n">
        <v>0</v>
      </c>
      <c r="F14" s="29" t="n">
        <f aca="false">01_Annahmen!$G$33*01_Annahmen!D55</f>
        <v>700000</v>
      </c>
      <c r="G14" s="29" t="n">
        <f aca="false">01_Annahmen!$G$33*01_Annahmen!E55</f>
        <v>1400000</v>
      </c>
      <c r="H14" s="29" t="n">
        <f aca="false">01_Annahmen!$G$33*01_Annahmen!F55</f>
        <v>2100000</v>
      </c>
      <c r="I14" s="29" t="n">
        <f aca="false">01_Annahmen!$G$33*01_Annahmen!G55</f>
        <v>2100000</v>
      </c>
      <c r="J14" s="29" t="n">
        <f aca="false">01_Annahmen!$G$33*01_Annahmen!H55</f>
        <v>700000</v>
      </c>
      <c r="K14" s="29" t="n">
        <v>0</v>
      </c>
      <c r="L14" s="29" t="n">
        <v>0</v>
      </c>
      <c r="M14" s="29" t="n">
        <v>0</v>
      </c>
      <c r="N14" s="29" t="n">
        <v>0</v>
      </c>
      <c r="O14" s="29" t="n">
        <v>0</v>
      </c>
      <c r="P14" s="29" t="n">
        <v>0</v>
      </c>
      <c r="Q14" s="29" t="n">
        <v>0</v>
      </c>
      <c r="R14" s="29" t="n">
        <v>0</v>
      </c>
      <c r="S14" s="29" t="n">
        <v>0</v>
      </c>
    </row>
    <row r="15" customFormat="false" ht="15" hidden="false" customHeight="false" outlineLevel="0" collapsed="false">
      <c r="B15" s="7" t="s">
        <v>81</v>
      </c>
      <c r="C15" s="7" t="s">
        <v>147</v>
      </c>
      <c r="D15" s="34" t="n">
        <f aca="false">SUM(E15:S15)</f>
        <v>1500000</v>
      </c>
      <c r="E15" s="29" t="n">
        <f aca="false">01_Annahmen!D51</f>
        <v>187500</v>
      </c>
      <c r="F15" s="29" t="n">
        <f aca="false">01_Annahmen!E51</f>
        <v>750000</v>
      </c>
      <c r="G15" s="29" t="n">
        <f aca="false">01_Annahmen!F51</f>
        <v>562500</v>
      </c>
      <c r="H15" s="29" t="n">
        <v>0</v>
      </c>
      <c r="I15" s="29" t="n">
        <v>0</v>
      </c>
      <c r="J15" s="29" t="n">
        <v>0</v>
      </c>
      <c r="K15" s="29" t="n">
        <v>0</v>
      </c>
      <c r="L15" s="29" t="n">
        <v>0</v>
      </c>
      <c r="M15" s="29" t="n">
        <v>0</v>
      </c>
      <c r="N15" s="29" t="n">
        <v>0</v>
      </c>
      <c r="O15" s="29" t="n">
        <v>0</v>
      </c>
      <c r="P15" s="29" t="n">
        <v>0</v>
      </c>
      <c r="Q15" s="29" t="n">
        <v>0</v>
      </c>
      <c r="R15" s="29" t="n">
        <v>0</v>
      </c>
      <c r="S15" s="29" t="n">
        <v>0</v>
      </c>
    </row>
    <row r="16" customFormat="false" ht="15" hidden="false" customHeight="false" outlineLevel="0" collapsed="false">
      <c r="B16" s="31" t="s">
        <v>148</v>
      </c>
      <c r="C16" s="31"/>
      <c r="D16" s="32" t="n">
        <f aca="false">SUM(D6:D15)</f>
        <v>117670859</v>
      </c>
      <c r="E16" s="32" t="n">
        <f aca="false">SUM(E6:E15)</f>
        <v>1262500</v>
      </c>
      <c r="F16" s="32" t="n">
        <f aca="false">SUM(F6:F15)</f>
        <v>6375000</v>
      </c>
      <c r="G16" s="32" t="n">
        <f aca="false">SUM(G6:G15)</f>
        <v>36242361.5</v>
      </c>
      <c r="H16" s="32" t="n">
        <f aca="false">SUM(H6:H15)</f>
        <v>30381791.7</v>
      </c>
      <c r="I16" s="32" t="n">
        <f aca="false">SUM(I6:I15)</f>
        <v>23667789.3</v>
      </c>
      <c r="J16" s="32" t="n">
        <f aca="false">SUM(J6:J15)</f>
        <v>19741416.5</v>
      </c>
      <c r="K16" s="32" t="n">
        <f aca="false">SUM(K6:K15)</f>
        <v>0</v>
      </c>
      <c r="L16" s="32" t="n">
        <f aca="false">SUM(L6:L15)</f>
        <v>0</v>
      </c>
      <c r="M16" s="32" t="n">
        <f aca="false">SUM(M6:M15)</f>
        <v>0</v>
      </c>
      <c r="N16" s="32" t="n">
        <f aca="false">SUM(N6:N15)</f>
        <v>0</v>
      </c>
      <c r="O16" s="32" t="n">
        <f aca="false">SUM(O6:O15)</f>
        <v>0</v>
      </c>
      <c r="P16" s="32" t="n">
        <f aca="false">SUM(P6:P15)</f>
        <v>0</v>
      </c>
      <c r="Q16" s="32" t="n">
        <f aca="false">SUM(Q6:Q15)</f>
        <v>0</v>
      </c>
      <c r="R16" s="32" t="n">
        <f aca="false">SUM(R6:R15)</f>
        <v>0</v>
      </c>
      <c r="S16" s="32" t="n">
        <f aca="false">SUM(S6:S15)</f>
        <v>0</v>
      </c>
    </row>
    <row r="17" customFormat="false" ht="15" hidden="false" customHeight="false" outlineLevel="0" collapsed="false">
      <c r="B17" s="7" t="s">
        <v>149</v>
      </c>
      <c r="C17" s="7" t="s">
        <v>147</v>
      </c>
      <c r="D17" s="34" t="n">
        <f aca="false">SUM(E17:S17)</f>
        <v>46101459</v>
      </c>
      <c r="E17" s="29" t="n">
        <f aca="false">01_Annahmen!$C$25</f>
        <v>46101459</v>
      </c>
      <c r="F17" s="29" t="n">
        <v>0</v>
      </c>
      <c r="G17" s="29" t="n">
        <v>0</v>
      </c>
      <c r="H17" s="29" t="n">
        <v>0</v>
      </c>
      <c r="I17" s="29" t="n">
        <v>0</v>
      </c>
      <c r="J17" s="29" t="n">
        <v>0</v>
      </c>
      <c r="K17" s="29" t="n">
        <v>0</v>
      </c>
      <c r="L17" s="29" t="n">
        <v>0</v>
      </c>
      <c r="M17" s="29" t="n">
        <v>0</v>
      </c>
      <c r="N17" s="29" t="n">
        <v>0</v>
      </c>
      <c r="O17" s="29" t="n">
        <v>0</v>
      </c>
      <c r="P17" s="29" t="n">
        <v>0</v>
      </c>
      <c r="Q17" s="29" t="n">
        <v>0</v>
      </c>
      <c r="R17" s="29" t="n">
        <v>0</v>
      </c>
      <c r="S17" s="29" t="n">
        <v>0</v>
      </c>
    </row>
    <row r="18" customFormat="false" ht="15" hidden="false" customHeight="false" outlineLevel="0" collapsed="false">
      <c r="B18" s="31" t="s">
        <v>150</v>
      </c>
      <c r="C18" s="31"/>
      <c r="D18" s="32" t="n">
        <f aca="false">D16+D17</f>
        <v>163772318</v>
      </c>
      <c r="E18" s="32" t="n">
        <f aca="false">E16+E17</f>
        <v>47363959</v>
      </c>
      <c r="F18" s="32" t="n">
        <f aca="false">F16+F17</f>
        <v>6375000</v>
      </c>
      <c r="G18" s="32" t="n">
        <f aca="false">G16+G17</f>
        <v>36242361.5</v>
      </c>
      <c r="H18" s="32" t="n">
        <f aca="false">H16+H17</f>
        <v>30381791.7</v>
      </c>
      <c r="I18" s="32" t="n">
        <f aca="false">I16+I17</f>
        <v>23667789.3</v>
      </c>
      <c r="J18" s="32" t="n">
        <f aca="false">J16+J17</f>
        <v>19741416.5</v>
      </c>
      <c r="K18" s="32" t="n">
        <f aca="false">K16+K17</f>
        <v>0</v>
      </c>
      <c r="L18" s="32" t="n">
        <f aca="false">L16+L17</f>
        <v>0</v>
      </c>
      <c r="M18" s="32" t="n">
        <f aca="false">M16+M17</f>
        <v>0</v>
      </c>
      <c r="N18" s="32" t="n">
        <f aca="false">N16+N17</f>
        <v>0</v>
      </c>
      <c r="O18" s="32" t="n">
        <f aca="false">O16+O17</f>
        <v>0</v>
      </c>
      <c r="P18" s="32" t="n">
        <f aca="false">P16+P17</f>
        <v>0</v>
      </c>
      <c r="Q18" s="32" t="n">
        <f aca="false">Q16+Q17</f>
        <v>0</v>
      </c>
      <c r="R18" s="32" t="n">
        <f aca="false">R16+R17</f>
        <v>0</v>
      </c>
      <c r="S18" s="32" t="n">
        <f aca="false">S16+S17</f>
        <v>0</v>
      </c>
    </row>
    <row r="20" customFormat="false" ht="15" hidden="false" customHeight="false" outlineLevel="0" collapsed="false">
      <c r="B20" s="16" t="s">
        <v>151</v>
      </c>
    </row>
    <row r="21" customFormat="false" ht="19.5" hidden="false" customHeight="true" outlineLevel="0" collapsed="false">
      <c r="B21" s="3" t="s">
        <v>84</v>
      </c>
      <c r="C21" s="4"/>
      <c r="D21" s="4" t="s">
        <v>152</v>
      </c>
      <c r="E21" s="4" t="s">
        <v>153</v>
      </c>
    </row>
    <row r="22" customFormat="false" ht="15" hidden="false" customHeight="false" outlineLevel="0" collapsed="false">
      <c r="B22" s="5" t="s">
        <v>103</v>
      </c>
      <c r="D22" s="29" t="n">
        <f aca="false">D6+D7</f>
        <v>19515675</v>
      </c>
      <c r="E22" s="35" t="n">
        <f aca="false">D22/D16</f>
        <v>0.165849685859776</v>
      </c>
    </row>
    <row r="23" customFormat="false" ht="15" hidden="false" customHeight="false" outlineLevel="0" collapsed="false">
      <c r="B23" s="5" t="s">
        <v>105</v>
      </c>
      <c r="D23" s="29" t="n">
        <f aca="false">D8+D9</f>
        <v>23808623</v>
      </c>
      <c r="E23" s="35" t="n">
        <f aca="false">D23/D16</f>
        <v>0.202332363359394</v>
      </c>
    </row>
    <row r="24" customFormat="false" ht="15" hidden="false" customHeight="false" outlineLevel="0" collapsed="false">
      <c r="B24" s="5" t="s">
        <v>107</v>
      </c>
      <c r="D24" s="29" t="n">
        <f aca="false">D10+D11</f>
        <v>27263728</v>
      </c>
      <c r="E24" s="35" t="n">
        <f aca="false">D24/D16</f>
        <v>0.231694815791223</v>
      </c>
    </row>
    <row r="25" customFormat="false" ht="15" hidden="false" customHeight="false" outlineLevel="0" collapsed="false">
      <c r="B25" s="5" t="s">
        <v>109</v>
      </c>
      <c r="D25" s="29" t="n">
        <f aca="false">D12+D13+D14</f>
        <v>45582833</v>
      </c>
      <c r="E25" s="35" t="n">
        <f aca="false">D25/D16</f>
        <v>0.387375713812032</v>
      </c>
    </row>
    <row r="26" customFormat="false" ht="15" hidden="false" customHeight="false" outlineLevel="0" collapsed="false">
      <c r="B26" s="7" t="s">
        <v>131</v>
      </c>
      <c r="D26" s="29" t="n">
        <f aca="false">D15</f>
        <v>1500000</v>
      </c>
      <c r="E26" s="35" t="n">
        <f aca="false">D26/D16</f>
        <v>0.0127474211775746</v>
      </c>
    </row>
    <row r="27" customFormat="false" ht="15" hidden="false" customHeight="false" outlineLevel="0" collapsed="false">
      <c r="B27" s="31" t="s">
        <v>111</v>
      </c>
      <c r="C27" s="31"/>
      <c r="D27" s="32" t="n">
        <f aca="false">SUM(D22:D26)</f>
        <v>117670859</v>
      </c>
      <c r="E27" s="36" t="n">
        <f aca="false">SUM(E22:E26)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U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4" min="3" style="0" width="16"/>
    <col collapsed="false" customWidth="true" hidden="false" outlineLevel="0" max="20" min="5" style="0" width="12"/>
    <col collapsed="false" customWidth="true" hidden="false" outlineLevel="0" max="21" min="21" style="0" width="9"/>
  </cols>
  <sheetData>
    <row r="2" customFormat="false" ht="18.55" hidden="false" customHeight="false" outlineLevel="0" collapsed="false">
      <c r="B2" s="1" t="s">
        <v>154</v>
      </c>
    </row>
    <row r="3" customFormat="false" ht="15" hidden="false" customHeight="false" outlineLevel="0" collapsed="false">
      <c r="B3" s="2" t="s">
        <v>155</v>
      </c>
    </row>
    <row r="4" customFormat="false" ht="15" hidden="false" customHeight="false" outlineLevel="0" collapsed="false">
      <c r="B4" s="7" t="s">
        <v>156</v>
      </c>
      <c r="C4" s="30" t="n">
        <v>0</v>
      </c>
    </row>
    <row r="5" customFormat="false" ht="21.75" hidden="false" customHeight="true" outlineLevel="0" collapsed="false">
      <c r="B5" s="3" t="s">
        <v>129</v>
      </c>
      <c r="C5" s="4" t="s">
        <v>84</v>
      </c>
      <c r="D5" s="4" t="s">
        <v>157</v>
      </c>
      <c r="E5" s="4" t="s">
        <v>116</v>
      </c>
      <c r="F5" s="4" t="s">
        <v>117</v>
      </c>
      <c r="G5" s="4" t="s">
        <v>118</v>
      </c>
      <c r="H5" s="4" t="s">
        <v>119</v>
      </c>
      <c r="I5" s="4" t="s">
        <v>120</v>
      </c>
      <c r="J5" s="4" t="s">
        <v>121</v>
      </c>
      <c r="K5" s="4" t="s">
        <v>122</v>
      </c>
      <c r="L5" s="4" t="s">
        <v>136</v>
      </c>
      <c r="M5" s="4" t="s">
        <v>137</v>
      </c>
      <c r="N5" s="4" t="s">
        <v>138</v>
      </c>
      <c r="O5" s="4" t="s">
        <v>139</v>
      </c>
      <c r="P5" s="4" t="s">
        <v>140</v>
      </c>
      <c r="Q5" s="4" t="s">
        <v>141</v>
      </c>
      <c r="R5" s="4" t="s">
        <v>142</v>
      </c>
      <c r="S5" s="4" t="s">
        <v>143</v>
      </c>
    </row>
    <row r="6" customFormat="false" ht="15" hidden="false" customHeight="false" outlineLevel="0" collapsed="false">
      <c r="E6" s="37" t="n">
        <v>2026</v>
      </c>
      <c r="F6" s="37" t="n">
        <v>2027</v>
      </c>
      <c r="G6" s="37" t="n">
        <v>2028</v>
      </c>
      <c r="H6" s="37" t="n">
        <v>2029</v>
      </c>
      <c r="I6" s="37" t="n">
        <v>2030</v>
      </c>
      <c r="J6" s="37" t="n">
        <v>2031</v>
      </c>
      <c r="K6" s="37" t="n">
        <v>2032</v>
      </c>
      <c r="L6" s="37" t="n">
        <v>2033</v>
      </c>
      <c r="M6" s="37" t="n">
        <v>2034</v>
      </c>
      <c r="N6" s="37" t="n">
        <v>2035</v>
      </c>
      <c r="O6" s="37" t="n">
        <v>2036</v>
      </c>
      <c r="P6" s="37" t="n">
        <v>2037</v>
      </c>
      <c r="Q6" s="37" t="n">
        <v>2038</v>
      </c>
      <c r="R6" s="37" t="n">
        <v>2039</v>
      </c>
      <c r="S6" s="37" t="n">
        <v>2040</v>
      </c>
    </row>
    <row r="7" customFormat="false" ht="15" hidden="false" customHeight="false" outlineLevel="0" collapsed="false">
      <c r="B7" s="16" t="s">
        <v>158</v>
      </c>
    </row>
    <row r="8" customFormat="false" ht="15" hidden="false" customHeight="false" outlineLevel="0" collapsed="false">
      <c r="B8" s="7" t="s">
        <v>159</v>
      </c>
      <c r="C8" s="7" t="s">
        <v>103</v>
      </c>
      <c r="D8" s="29" t="n">
        <f aca="false">SUM(E8:S8)</f>
        <v>12432023.3862467</v>
      </c>
      <c r="E8" s="29" t="n">
        <f aca="false">IF(E$6&lt;01_Annahmen!$O$30,0,(1-$C$4*01_Annahmen!$P$30)*01_Annahmen!$H$30*(1+01_Annahmen!$L$30)^(E$6-01_Annahmen!$O$30)*(1-IF(E$6=01_Annahmen!$O$30,01_Annahmen!$K$30,IF(E$6=01_Annahmen!$O$30+1,(01_Annahmen!$K$30+01_Annahmen!$I$30)/2,01_Annahmen!$I$30))-01_Annahmen!$J$30))</f>
        <v>0</v>
      </c>
      <c r="F8" s="29" t="n">
        <f aca="false">IF(F$6&lt;01_Annahmen!$O$30,0,(1-$C$4*01_Annahmen!$P$30)*01_Annahmen!$H$30*(1+01_Annahmen!$L$30)^(F$6-01_Annahmen!$O$30)*(1-IF(F$6=01_Annahmen!$O$30,01_Annahmen!$K$30,IF(F$6=01_Annahmen!$O$30+1,(01_Annahmen!$K$30+01_Annahmen!$I$30)/2,01_Annahmen!$I$30))-01_Annahmen!$J$30))</f>
        <v>0</v>
      </c>
      <c r="G8" s="29" t="n">
        <f aca="false">IF(G$6&lt;01_Annahmen!$O$30,0,(1-$C$4*01_Annahmen!$P$30)*01_Annahmen!$H$30*(1+01_Annahmen!$L$30)^(G$6-01_Annahmen!$O$30)*(1-IF(G$6=01_Annahmen!$O$30,01_Annahmen!$K$30,IF(G$6=01_Annahmen!$O$30+1,(01_Annahmen!$K$30+01_Annahmen!$I$30)/2,01_Annahmen!$I$30))-01_Annahmen!$J$30))</f>
        <v>0</v>
      </c>
      <c r="H8" s="29" t="n">
        <f aca="false">IF(H$6&lt;01_Annahmen!$O$30,0,(1-$C$4*01_Annahmen!$P$30)*01_Annahmen!$H$30*(1+01_Annahmen!$L$30)^(H$6-01_Annahmen!$O$30)*(1-IF(H$6=01_Annahmen!$O$30,01_Annahmen!$K$30,IF(H$6=01_Annahmen!$O$30+1,(01_Annahmen!$K$30+01_Annahmen!$I$30)/2,01_Annahmen!$I$30))-01_Annahmen!$J$30))</f>
        <v>627757.52</v>
      </c>
      <c r="I8" s="29" t="n">
        <f aca="false">IF(I$6&lt;01_Annahmen!$O$30,0,(1-$C$4*01_Annahmen!$P$30)*01_Annahmen!$H$30*(1+01_Annahmen!$L$30)^(I$6-01_Annahmen!$O$30)*(1-IF(I$6=01_Annahmen!$O$30,01_Annahmen!$K$30,IF(I$6=01_Annahmen!$O$30+1,(01_Annahmen!$K$30+01_Annahmen!$I$30)/2,01_Annahmen!$I$30))-01_Annahmen!$J$30))</f>
        <v>836011.851969</v>
      </c>
      <c r="J8" s="29" t="n">
        <f aca="false">IF(J$6&lt;01_Annahmen!$O$30,0,(1-$C$4*01_Annahmen!$P$30)*01_Annahmen!$H$30*(1+01_Annahmen!$L$30)^(J$6-01_Annahmen!$O$30)*(1-IF(J$6=01_Annahmen!$O$30,01_Annahmen!$K$30,IF(J$6=01_Annahmen!$O$30+1,(01_Annahmen!$K$30+01_Annahmen!$I$30)/2,01_Annahmen!$I$30))-01_Annahmen!$J$30))</f>
        <v>1048368.49482538</v>
      </c>
      <c r="K8" s="29" t="n">
        <f aca="false">IF(K$6&lt;01_Annahmen!$O$30,0,(1-$C$4*01_Annahmen!$P$30)*01_Annahmen!$H$30*(1+01_Annahmen!$L$30)^(K$6-01_Annahmen!$O$30)*(1-IF(K$6=01_Annahmen!$O$30,01_Annahmen!$K$30,IF(K$6=01_Annahmen!$O$30+1,(01_Annahmen!$K$30+01_Annahmen!$I$30)/2,01_Annahmen!$I$30))-01_Annahmen!$J$30))</f>
        <v>1058852.17977363</v>
      </c>
      <c r="L8" s="29" t="n">
        <f aca="false">IF(L$6&lt;01_Annahmen!$O$30,0,(1-$C$4*01_Annahmen!$P$30)*01_Annahmen!$H$30*(1+01_Annahmen!$L$30)^(L$6-01_Annahmen!$O$30)*(1-IF(L$6=01_Annahmen!$O$30,01_Annahmen!$K$30,IF(L$6=01_Annahmen!$O$30+1,(01_Annahmen!$K$30+01_Annahmen!$I$30)/2,01_Annahmen!$I$30))-01_Annahmen!$J$30))</f>
        <v>1069440.70157137</v>
      </c>
      <c r="M8" s="29" t="n">
        <f aca="false">IF(M$6&lt;01_Annahmen!$O$30,0,(1-$C$4*01_Annahmen!$P$30)*01_Annahmen!$H$30*(1+01_Annahmen!$L$30)^(M$6-01_Annahmen!$O$30)*(1-IF(M$6=01_Annahmen!$O$30,01_Annahmen!$K$30,IF(M$6=01_Annahmen!$O$30+1,(01_Annahmen!$K$30+01_Annahmen!$I$30)/2,01_Annahmen!$I$30))-01_Annahmen!$J$30))</f>
        <v>1080135.10858708</v>
      </c>
      <c r="N8" s="29" t="n">
        <f aca="false">IF(N$6&lt;01_Annahmen!$O$30,0,(1-$C$4*01_Annahmen!$P$30)*01_Annahmen!$H$30*(1+01_Annahmen!$L$30)^(N$6-01_Annahmen!$O$30)*(1-IF(N$6=01_Annahmen!$O$30,01_Annahmen!$K$30,IF(N$6=01_Annahmen!$O$30+1,(01_Annahmen!$K$30+01_Annahmen!$I$30)/2,01_Annahmen!$I$30))-01_Annahmen!$J$30))</f>
        <v>1090936.45967295</v>
      </c>
      <c r="O8" s="29" t="n">
        <f aca="false">IF(O$6&lt;01_Annahmen!$O$30,0,(1-$C$4*01_Annahmen!$P$30)*01_Annahmen!$H$30*(1+01_Annahmen!$L$30)^(O$6-01_Annahmen!$O$30)*(1-IF(O$6=01_Annahmen!$O$30,01_Annahmen!$K$30,IF(O$6=01_Annahmen!$O$30+1,(01_Annahmen!$K$30+01_Annahmen!$I$30)/2,01_Annahmen!$I$30))-01_Annahmen!$J$30))</f>
        <v>1101845.82426968</v>
      </c>
      <c r="P8" s="29" t="n">
        <f aca="false">IF(P$6&lt;01_Annahmen!$O$30,0,(1-$C$4*01_Annahmen!$P$30)*01_Annahmen!$H$30*(1+01_Annahmen!$L$30)^(P$6-01_Annahmen!$O$30)*(1-IF(P$6=01_Annahmen!$O$30,01_Annahmen!$K$30,IF(P$6=01_Annahmen!$O$30+1,(01_Annahmen!$K$30+01_Annahmen!$I$30)/2,01_Annahmen!$I$30))-01_Annahmen!$J$30))</f>
        <v>1112864.28251238</v>
      </c>
      <c r="Q8" s="29" t="n">
        <f aca="false">IF(Q$6&lt;01_Annahmen!$O$30,0,(1-$C$4*01_Annahmen!$P$30)*01_Annahmen!$H$30*(1+01_Annahmen!$L$30)^(Q$6-01_Annahmen!$O$30)*(1-IF(Q$6=01_Annahmen!$O$30,01_Annahmen!$K$30,IF(Q$6=01_Annahmen!$O$30+1,(01_Annahmen!$K$30+01_Annahmen!$I$30)/2,01_Annahmen!$I$30))-01_Annahmen!$J$30))</f>
        <v>1123992.9253375</v>
      </c>
      <c r="R8" s="29" t="n">
        <f aca="false">IF(R$6&lt;01_Annahmen!$O$30,0,(1-$C$4*01_Annahmen!$P$30)*01_Annahmen!$H$30*(1+01_Annahmen!$L$30)^(R$6-01_Annahmen!$O$30)*(1-IF(R$6=01_Annahmen!$O$30,01_Annahmen!$K$30,IF(R$6=01_Annahmen!$O$30+1,(01_Annahmen!$K$30+01_Annahmen!$I$30)/2,01_Annahmen!$I$30))-01_Annahmen!$J$30))</f>
        <v>1135232.85459088</v>
      </c>
      <c r="S8" s="29" t="n">
        <f aca="false">IF(S$6&lt;01_Annahmen!$O$30,0,(1-$C$4*01_Annahmen!$P$30)*01_Annahmen!$H$30*(1+01_Annahmen!$L$30)^(S$6-01_Annahmen!$O$30)*(1-IF(S$6=01_Annahmen!$O$30,01_Annahmen!$K$30,IF(S$6=01_Annahmen!$O$30+1,(01_Annahmen!$K$30+01_Annahmen!$I$30)/2,01_Annahmen!$I$30))-01_Annahmen!$J$30))</f>
        <v>1146585.18313679</v>
      </c>
    </row>
    <row r="9" customFormat="false" ht="15" hidden="false" customHeight="false" outlineLevel="0" collapsed="false">
      <c r="B9" s="7" t="s">
        <v>159</v>
      </c>
      <c r="C9" s="7" t="s">
        <v>105</v>
      </c>
      <c r="D9" s="29" t="n">
        <f aca="false">SUM(E9:S9)</f>
        <v>17445215.3432481</v>
      </c>
      <c r="E9" s="29" t="n">
        <f aca="false">IF(E$6&lt;01_Annahmen!$O$31,0,(1-$C$4*01_Annahmen!$P$31)*01_Annahmen!$H$31*(1+01_Annahmen!$L$31)^(E$6-01_Annahmen!$O$31)*(1-IF(E$6=01_Annahmen!$O$31,01_Annahmen!$K$31,IF(E$6=01_Annahmen!$O$31+1,(01_Annahmen!$K$31+01_Annahmen!$I$31)/2,01_Annahmen!$I$31))-01_Annahmen!$J$31))</f>
        <v>0</v>
      </c>
      <c r="F9" s="29" t="n">
        <f aca="false">IF(F$6&lt;01_Annahmen!$O$31,0,(1-$C$4*01_Annahmen!$P$31)*01_Annahmen!$H$31*(1+01_Annahmen!$L$31)^(F$6-01_Annahmen!$O$31)*(1-IF(F$6=01_Annahmen!$O$31,01_Annahmen!$K$31,IF(F$6=01_Annahmen!$O$31+1,(01_Annahmen!$K$31+01_Annahmen!$I$31)/2,01_Annahmen!$I$31))-01_Annahmen!$J$31))</f>
        <v>0</v>
      </c>
      <c r="G9" s="29" t="n">
        <f aca="false">IF(G$6&lt;01_Annahmen!$O$31,0,(1-$C$4*01_Annahmen!$P$31)*01_Annahmen!$H$31*(1+01_Annahmen!$L$31)^(G$6-01_Annahmen!$O$31)*(1-IF(G$6=01_Annahmen!$O$31,01_Annahmen!$K$31,IF(G$6=01_Annahmen!$O$31+1,(01_Annahmen!$K$31+01_Annahmen!$I$31)/2,01_Annahmen!$I$31))-01_Annahmen!$J$31))</f>
        <v>0</v>
      </c>
      <c r="H9" s="29" t="n">
        <f aca="false">IF(H$6&lt;01_Annahmen!$O$31,0,(1-$C$4*01_Annahmen!$P$31)*01_Annahmen!$H$31*(1+01_Annahmen!$L$31)^(H$6-01_Annahmen!$O$31)*(1-IF(H$6=01_Annahmen!$O$31,01_Annahmen!$K$31,IF(H$6=01_Annahmen!$O$31+1,(01_Annahmen!$K$31+01_Annahmen!$I$31)/2,01_Annahmen!$I$31))-01_Annahmen!$J$31))</f>
        <v>0</v>
      </c>
      <c r="I9" s="29" t="n">
        <f aca="false">IF(I$6&lt;01_Annahmen!$O$31,0,(1-$C$4*01_Annahmen!$P$31)*01_Annahmen!$H$31*(1+01_Annahmen!$L$31)^(I$6-01_Annahmen!$O$31)*(1-IF(I$6=01_Annahmen!$O$31,01_Annahmen!$K$31,IF(I$6=01_Annahmen!$O$31+1,(01_Annahmen!$K$31+01_Annahmen!$I$31)/2,01_Annahmen!$I$31))-01_Annahmen!$J$31))</f>
        <v>818361.4354</v>
      </c>
      <c r="J9" s="29" t="n">
        <f aca="false">IF(J$6&lt;01_Annahmen!$O$31,0,(1-$C$4*01_Annahmen!$P$31)*01_Annahmen!$H$31*(1+01_Annahmen!$L$31)^(J$6-01_Annahmen!$O$31)*(1-IF(J$6=01_Annahmen!$O$31,01_Annahmen!$K$31,IF(J$6=01_Annahmen!$O$31+1,(01_Annahmen!$K$31+01_Annahmen!$I$31)/2,01_Annahmen!$I$31))-01_Annahmen!$J$31))</f>
        <v>1233332.446275</v>
      </c>
      <c r="K9" s="29" t="n">
        <f aca="false">IF(K$6&lt;01_Annahmen!$O$31,0,(1-$C$4*01_Annahmen!$P$31)*01_Annahmen!$H$31*(1+01_Annahmen!$L$31)^(K$6-01_Annahmen!$O$31)*(1-IF(K$6=01_Annahmen!$O$31,01_Annahmen!$K$31,IF(K$6=01_Annahmen!$O$31+1,(01_Annahmen!$K$31+01_Annahmen!$I$31)/2,01_Annahmen!$I$31))-01_Annahmen!$J$31))</f>
        <v>1655053.95510543</v>
      </c>
      <c r="L9" s="29" t="n">
        <f aca="false">IF(L$6&lt;01_Annahmen!$O$31,0,(1-$C$4*01_Annahmen!$P$31)*01_Annahmen!$H$31*(1+01_Annahmen!$L$31)^(L$6-01_Annahmen!$O$31)*(1-IF(L$6=01_Annahmen!$O$31,01_Annahmen!$K$31,IF(L$6=01_Annahmen!$O$31+1,(01_Annahmen!$K$31+01_Annahmen!$I$31)/2,01_Annahmen!$I$31))-01_Annahmen!$J$31))</f>
        <v>1668625.3975373</v>
      </c>
      <c r="M9" s="29" t="n">
        <f aca="false">IF(M$6&lt;01_Annahmen!$O$31,0,(1-$C$4*01_Annahmen!$P$31)*01_Annahmen!$H$31*(1+01_Annahmen!$L$31)^(M$6-01_Annahmen!$O$31)*(1-IF(M$6=01_Annahmen!$O$31,01_Annahmen!$K$31,IF(M$6=01_Annahmen!$O$31+1,(01_Annahmen!$K$31+01_Annahmen!$I$31)/2,01_Annahmen!$I$31))-01_Annahmen!$J$31))</f>
        <v>1682308.1257971</v>
      </c>
      <c r="N9" s="29" t="n">
        <f aca="false">IF(N$6&lt;01_Annahmen!$O$31,0,(1-$C$4*01_Annahmen!$P$31)*01_Annahmen!$H$31*(1+01_Annahmen!$L$31)^(N$6-01_Annahmen!$O$31)*(1-IF(N$6=01_Annahmen!$O$31,01_Annahmen!$K$31,IF(N$6=01_Annahmen!$O$31+1,(01_Annahmen!$K$31+01_Annahmen!$I$31)/2,01_Annahmen!$I$31))-01_Annahmen!$J$31))</f>
        <v>1696103.05242864</v>
      </c>
      <c r="O9" s="29" t="n">
        <f aca="false">IF(O$6&lt;01_Annahmen!$O$31,0,(1-$C$4*01_Annahmen!$P$31)*01_Annahmen!$H$31*(1+01_Annahmen!$L$31)^(O$6-01_Annahmen!$O$31)*(1-IF(O$6=01_Annahmen!$O$31,01_Annahmen!$K$31,IF(O$6=01_Annahmen!$O$31+1,(01_Annahmen!$K$31+01_Annahmen!$I$31)/2,01_Annahmen!$I$31))-01_Annahmen!$J$31))</f>
        <v>1710011.09745856</v>
      </c>
      <c r="P9" s="29" t="n">
        <f aca="false">IF(P$6&lt;01_Annahmen!$O$31,0,(1-$C$4*01_Annahmen!$P$31)*01_Annahmen!$H$31*(1+01_Annahmen!$L$31)^(P$6-01_Annahmen!$O$31)*(1-IF(P$6=01_Annahmen!$O$31,01_Annahmen!$K$31,IF(P$6=01_Annahmen!$O$31+1,(01_Annahmen!$K$31+01_Annahmen!$I$31)/2,01_Annahmen!$I$31))-01_Annahmen!$J$31))</f>
        <v>1724033.18845772</v>
      </c>
      <c r="Q9" s="29" t="n">
        <f aca="false">IF(Q$6&lt;01_Annahmen!$O$31,0,(1-$C$4*01_Annahmen!$P$31)*01_Annahmen!$H$31*(1+01_Annahmen!$L$31)^(Q$6-01_Annahmen!$O$31)*(1-IF(Q$6=01_Annahmen!$O$31,01_Annahmen!$K$31,IF(Q$6=01_Annahmen!$O$31+1,(01_Annahmen!$K$31+01_Annahmen!$I$31)/2,01_Annahmen!$I$31))-01_Annahmen!$J$31))</f>
        <v>1738170.26060307</v>
      </c>
      <c r="R9" s="29" t="n">
        <f aca="false">IF(R$6&lt;01_Annahmen!$O$31,0,(1-$C$4*01_Annahmen!$P$31)*01_Annahmen!$H$31*(1+01_Annahmen!$L$31)^(R$6-01_Annahmen!$O$31)*(1-IF(R$6=01_Annahmen!$O$31,01_Annahmen!$K$31,IF(R$6=01_Annahmen!$O$31+1,(01_Annahmen!$K$31+01_Annahmen!$I$31)/2,01_Annahmen!$I$31))-01_Annahmen!$J$31))</f>
        <v>1752423.25674001</v>
      </c>
      <c r="S9" s="29" t="n">
        <f aca="false">IF(S$6&lt;01_Annahmen!$O$31,0,(1-$C$4*01_Annahmen!$P$31)*01_Annahmen!$H$31*(1+01_Annahmen!$L$31)^(S$6-01_Annahmen!$O$31)*(1-IF(S$6=01_Annahmen!$O$31,01_Annahmen!$K$31,IF(S$6=01_Annahmen!$O$31+1,(01_Annahmen!$K$31+01_Annahmen!$I$31)/2,01_Annahmen!$I$31))-01_Annahmen!$J$31))</f>
        <v>1766793.12744528</v>
      </c>
    </row>
    <row r="10" customFormat="false" ht="15" hidden="false" customHeight="false" outlineLevel="0" collapsed="false">
      <c r="B10" s="7" t="s">
        <v>159</v>
      </c>
      <c r="C10" s="7" t="s">
        <v>107</v>
      </c>
      <c r="D10" s="29" t="n">
        <f aca="false">SUM(E10:S10)</f>
        <v>20516832.082985</v>
      </c>
      <c r="E10" s="29" t="n">
        <f aca="false">IF(E$6&lt;01_Annahmen!$O$32,0,(1-$C$4*01_Annahmen!$P$32)*01_Annahmen!$H$32*(1+01_Annahmen!$L$32)^(E$6-01_Annahmen!$O$32)*(1-IF(E$6=01_Annahmen!$O$32,01_Annahmen!$K$32,IF(E$6=01_Annahmen!$O$32+1,(01_Annahmen!$K$32+01_Annahmen!$I$32)/2,01_Annahmen!$I$32))-01_Annahmen!$J$32))</f>
        <v>0</v>
      </c>
      <c r="F10" s="29" t="n">
        <f aca="false">IF(F$6&lt;01_Annahmen!$O$32,0,(1-$C$4*01_Annahmen!$P$32)*01_Annahmen!$H$32*(1+01_Annahmen!$L$32)^(F$6-01_Annahmen!$O$32)*(1-IF(F$6=01_Annahmen!$O$32,01_Annahmen!$K$32,IF(F$6=01_Annahmen!$O$32+1,(01_Annahmen!$K$32+01_Annahmen!$I$32)/2,01_Annahmen!$I$32))-01_Annahmen!$J$32))</f>
        <v>0</v>
      </c>
      <c r="G10" s="29" t="n">
        <f aca="false">IF(G$6&lt;01_Annahmen!$O$32,0,(1-$C$4*01_Annahmen!$P$32)*01_Annahmen!$H$32*(1+01_Annahmen!$L$32)^(G$6-01_Annahmen!$O$32)*(1-IF(G$6=01_Annahmen!$O$32,01_Annahmen!$K$32,IF(G$6=01_Annahmen!$O$32+1,(01_Annahmen!$K$32+01_Annahmen!$I$32)/2,01_Annahmen!$I$32))-01_Annahmen!$J$32))</f>
        <v>0</v>
      </c>
      <c r="H10" s="29" t="n">
        <f aca="false">IF(H$6&lt;01_Annahmen!$O$32,0,(1-$C$4*01_Annahmen!$P$32)*01_Annahmen!$H$32*(1+01_Annahmen!$L$32)^(H$6-01_Annahmen!$O$32)*(1-IF(H$6=01_Annahmen!$O$32,01_Annahmen!$K$32,IF(H$6=01_Annahmen!$O$32+1,(01_Annahmen!$K$32+01_Annahmen!$I$32)/2,01_Annahmen!$I$32))-01_Annahmen!$J$32))</f>
        <v>0</v>
      </c>
      <c r="I10" s="29" t="n">
        <f aca="false">IF(I$6&lt;01_Annahmen!$O$32,0,(1-$C$4*01_Annahmen!$P$32)*01_Annahmen!$H$32*(1+01_Annahmen!$L$32)^(I$6-01_Annahmen!$O$32)*(1-IF(I$6=01_Annahmen!$O$32,01_Annahmen!$K$32,IF(I$6=01_Annahmen!$O$32+1,(01_Annahmen!$K$32+01_Annahmen!$I$32)/2,01_Annahmen!$I$32))-01_Annahmen!$J$32))</f>
        <v>1012151.1816</v>
      </c>
      <c r="J10" s="29" t="n">
        <f aca="false">IF(J$6&lt;01_Annahmen!$O$32,0,(1-$C$4*01_Annahmen!$P$32)*01_Annahmen!$H$32*(1+01_Annahmen!$L$32)^(J$6-01_Annahmen!$O$32)*(1-IF(J$6=01_Annahmen!$O$32,01_Annahmen!$K$32,IF(J$6=01_Annahmen!$O$32+1,(01_Annahmen!$K$32+01_Annahmen!$I$32)/2,01_Annahmen!$I$32))-01_Annahmen!$J$32))</f>
        <v>1474218.26261424</v>
      </c>
      <c r="K10" s="29" t="n">
        <f aca="false">IF(K$6&lt;01_Annahmen!$O$32,0,(1-$C$4*01_Annahmen!$P$32)*01_Annahmen!$H$32*(1+01_Annahmen!$L$32)^(K$6-01_Annahmen!$O$32)*(1-IF(K$6=01_Annahmen!$O$32,01_Annahmen!$K$32,IF(K$6=01_Annahmen!$O$32+1,(01_Annahmen!$K$32+01_Annahmen!$I$32)/2,01_Annahmen!$I$32))-01_Annahmen!$J$32))</f>
        <v>1943250.30140765</v>
      </c>
      <c r="L10" s="29" t="n">
        <f aca="false">IF(L$6&lt;01_Annahmen!$O$32,0,(1-$C$4*01_Annahmen!$P$32)*01_Annahmen!$H$32*(1+01_Annahmen!$L$32)^(L$6-01_Annahmen!$O$32)*(1-IF(L$6=01_Annahmen!$O$32,01_Annahmen!$K$32,IF(L$6=01_Annahmen!$O$32+1,(01_Annahmen!$K$32+01_Annahmen!$I$32)/2,01_Annahmen!$I$32))-01_Annahmen!$J$32))</f>
        <v>1958019.00369835</v>
      </c>
      <c r="M10" s="29" t="n">
        <f aca="false">IF(M$6&lt;01_Annahmen!$O$32,0,(1-$C$4*01_Annahmen!$P$32)*01_Annahmen!$H$32*(1+01_Annahmen!$L$32)^(M$6-01_Annahmen!$O$32)*(1-IF(M$6=01_Annahmen!$O$32,01_Annahmen!$K$32,IF(M$6=01_Annahmen!$O$32+1,(01_Annahmen!$K$32+01_Annahmen!$I$32)/2,01_Annahmen!$I$32))-01_Annahmen!$J$32))</f>
        <v>1972899.94812645</v>
      </c>
      <c r="N10" s="29" t="n">
        <f aca="false">IF(N$6&lt;01_Annahmen!$O$32,0,(1-$C$4*01_Annahmen!$P$32)*01_Annahmen!$H$32*(1+01_Annahmen!$L$32)^(N$6-01_Annahmen!$O$32)*(1-IF(N$6=01_Annahmen!$O$32,01_Annahmen!$K$32,IF(N$6=01_Annahmen!$O$32+1,(01_Annahmen!$K$32+01_Annahmen!$I$32)/2,01_Annahmen!$I$32))-01_Annahmen!$J$32))</f>
        <v>1987893.98773221</v>
      </c>
      <c r="O10" s="29" t="n">
        <f aca="false">IF(O$6&lt;01_Annahmen!$O$32,0,(1-$C$4*01_Annahmen!$P$32)*01_Annahmen!$H$32*(1+01_Annahmen!$L$32)^(O$6-01_Annahmen!$O$32)*(1-IF(O$6=01_Annahmen!$O$32,01_Annahmen!$K$32,IF(O$6=01_Annahmen!$O$32+1,(01_Annahmen!$K$32+01_Annahmen!$I$32)/2,01_Annahmen!$I$32))-01_Annahmen!$J$32))</f>
        <v>2003001.98203898</v>
      </c>
      <c r="P10" s="29" t="n">
        <f aca="false">IF(P$6&lt;01_Annahmen!$O$32,0,(1-$C$4*01_Annahmen!$P$32)*01_Annahmen!$H$32*(1+01_Annahmen!$L$32)^(P$6-01_Annahmen!$O$32)*(1-IF(P$6=01_Annahmen!$O$32,01_Annahmen!$K$32,IF(P$6=01_Annahmen!$O$32+1,(01_Annahmen!$K$32+01_Annahmen!$I$32)/2,01_Annahmen!$I$32))-01_Annahmen!$J$32))</f>
        <v>2018224.79710248</v>
      </c>
      <c r="Q10" s="29" t="n">
        <f aca="false">IF(Q$6&lt;01_Annahmen!$O$32,0,(1-$C$4*01_Annahmen!$P$32)*01_Annahmen!$H$32*(1+01_Annahmen!$L$32)^(Q$6-01_Annahmen!$O$32)*(1-IF(Q$6=01_Annahmen!$O$32,01_Annahmen!$K$32,IF(Q$6=01_Annahmen!$O$32+1,(01_Annahmen!$K$32+01_Annahmen!$I$32)/2,01_Annahmen!$I$32))-01_Annahmen!$J$32))</f>
        <v>2033563.30556046</v>
      </c>
      <c r="R10" s="29" t="n">
        <f aca="false">IF(R$6&lt;01_Annahmen!$O$32,0,(1-$C$4*01_Annahmen!$P$32)*01_Annahmen!$H$32*(1+01_Annahmen!$L$32)^(R$6-01_Annahmen!$O$32)*(1-IF(R$6=01_Annahmen!$O$32,01_Annahmen!$K$32,IF(R$6=01_Annahmen!$O$32+1,(01_Annahmen!$K$32+01_Annahmen!$I$32)/2,01_Annahmen!$I$32))-01_Annahmen!$J$32))</f>
        <v>2049018.38668271</v>
      </c>
      <c r="S10" s="29" t="n">
        <f aca="false">IF(S$6&lt;01_Annahmen!$O$32,0,(1-$C$4*01_Annahmen!$P$32)*01_Annahmen!$H$32*(1+01_Annahmen!$L$32)^(S$6-01_Annahmen!$O$32)*(1-IF(S$6=01_Annahmen!$O$32,01_Annahmen!$K$32,IF(S$6=01_Annahmen!$O$32+1,(01_Annahmen!$K$32+01_Annahmen!$I$32)/2,01_Annahmen!$I$32))-01_Annahmen!$J$32))</f>
        <v>2064590.9264215</v>
      </c>
    </row>
    <row r="11" customFormat="false" ht="15" hidden="false" customHeight="false" outlineLevel="0" collapsed="false">
      <c r="B11" s="7" t="s">
        <v>159</v>
      </c>
      <c r="C11" s="7" t="s">
        <v>109</v>
      </c>
      <c r="D11" s="29" t="n">
        <f aca="false">SUM(E11:S11)</f>
        <v>18113921.6971438</v>
      </c>
      <c r="E11" s="29" t="n">
        <f aca="false">IF(E$6&lt;01_Annahmen!$O$33,0,(1-$C$4*01_Annahmen!$P$33)*01_Annahmen!$H$33*(1+01_Annahmen!$L$33)^(E$6-01_Annahmen!$O$33)*(1-IF(E$6=01_Annahmen!$O$33,01_Annahmen!$K$33,IF(E$6=01_Annahmen!$O$33+1,(01_Annahmen!$K$33+01_Annahmen!$I$33)/2,01_Annahmen!$I$33))-01_Annahmen!$J$33))</f>
        <v>0</v>
      </c>
      <c r="F11" s="29" t="n">
        <f aca="false">IF(F$6&lt;01_Annahmen!$O$33,0,(1-$C$4*01_Annahmen!$P$33)*01_Annahmen!$H$33*(1+01_Annahmen!$L$33)^(F$6-01_Annahmen!$O$33)*(1-IF(F$6=01_Annahmen!$O$33,01_Annahmen!$K$33,IF(F$6=01_Annahmen!$O$33+1,(01_Annahmen!$K$33+01_Annahmen!$I$33)/2,01_Annahmen!$I$33))-01_Annahmen!$J$33))</f>
        <v>0</v>
      </c>
      <c r="G11" s="29" t="n">
        <f aca="false">IF(G$6&lt;01_Annahmen!$O$33,0,(1-$C$4*01_Annahmen!$P$33)*01_Annahmen!$H$33*(1+01_Annahmen!$L$33)^(G$6-01_Annahmen!$O$33)*(1-IF(G$6=01_Annahmen!$O$33,01_Annahmen!$K$33,IF(G$6=01_Annahmen!$O$33+1,(01_Annahmen!$K$33+01_Annahmen!$I$33)/2,01_Annahmen!$I$33))-01_Annahmen!$J$33))</f>
        <v>0</v>
      </c>
      <c r="H11" s="29" t="n">
        <f aca="false">IF(H$6&lt;01_Annahmen!$O$33,0,(1-$C$4*01_Annahmen!$P$33)*01_Annahmen!$H$33*(1+01_Annahmen!$L$33)^(H$6-01_Annahmen!$O$33)*(1-IF(H$6=01_Annahmen!$O$33,01_Annahmen!$K$33,IF(H$6=01_Annahmen!$O$33+1,(01_Annahmen!$K$33+01_Annahmen!$I$33)/2,01_Annahmen!$I$33))-01_Annahmen!$J$33))</f>
        <v>0</v>
      </c>
      <c r="I11" s="29" t="n">
        <f aca="false">IF(I$6&lt;01_Annahmen!$O$33,0,(1-$C$4*01_Annahmen!$P$33)*01_Annahmen!$H$33*(1+01_Annahmen!$L$33)^(I$6-01_Annahmen!$O$33)*(1-IF(I$6=01_Annahmen!$O$33,01_Annahmen!$K$33,IF(I$6=01_Annahmen!$O$33+1,(01_Annahmen!$K$33+01_Annahmen!$I$33)/2,01_Annahmen!$I$33))-01_Annahmen!$J$33))</f>
        <v>0</v>
      </c>
      <c r="J11" s="29" t="n">
        <f aca="false">IF(J$6&lt;01_Annahmen!$O$33,0,(1-$C$4*01_Annahmen!$P$33)*01_Annahmen!$H$33*(1+01_Annahmen!$L$33)^(J$6-01_Annahmen!$O$33)*(1-IF(J$6=01_Annahmen!$O$33,01_Annahmen!$K$33,IF(J$6=01_Annahmen!$O$33+1,(01_Annahmen!$K$33+01_Annahmen!$I$33)/2,01_Annahmen!$I$33))-01_Annahmen!$J$33))</f>
        <v>0</v>
      </c>
      <c r="K11" s="29" t="n">
        <f aca="false">IF(K$6&lt;01_Annahmen!$O$33,0,(1-$C$4*01_Annahmen!$P$33)*01_Annahmen!$H$33*(1+01_Annahmen!$L$33)^(K$6-01_Annahmen!$O$33)*(1-IF(K$6=01_Annahmen!$O$33,01_Annahmen!$K$33,IF(K$6=01_Annahmen!$O$33+1,(01_Annahmen!$K$33+01_Annahmen!$I$33)/2,01_Annahmen!$I$33))-01_Annahmen!$J$33))</f>
        <v>1259792.04</v>
      </c>
      <c r="L11" s="29" t="n">
        <f aca="false">IF(L$6&lt;01_Annahmen!$O$33,0,(1-$C$4*01_Annahmen!$P$33)*01_Annahmen!$H$33*(1+01_Annahmen!$L$33)^(L$6-01_Annahmen!$O$33)*(1-IF(L$6=01_Annahmen!$O$33,01_Annahmen!$K$33,IF(L$6=01_Annahmen!$O$33+1,(01_Annahmen!$K$33+01_Annahmen!$I$33)/2,01_Annahmen!$I$33))-01_Annahmen!$J$33))</f>
        <v>1677719.5699005</v>
      </c>
      <c r="M11" s="29" t="n">
        <f aca="false">IF(M$6&lt;01_Annahmen!$O$33,0,(1-$C$4*01_Annahmen!$P$33)*01_Annahmen!$H$33*(1+01_Annahmen!$L$33)^(M$6-01_Annahmen!$O$33)*(1-IF(M$6=01_Annahmen!$O$33,01_Annahmen!$K$33,IF(M$6=01_Annahmen!$O$33+1,(01_Annahmen!$K$33+01_Annahmen!$I$33)/2,01_Annahmen!$I$33))-01_Annahmen!$J$33))</f>
        <v>2103879.67119501</v>
      </c>
      <c r="N11" s="29" t="n">
        <f aca="false">IF(N$6&lt;01_Annahmen!$O$33,0,(1-$C$4*01_Annahmen!$P$33)*01_Annahmen!$H$33*(1+01_Annahmen!$L$33)^(N$6-01_Annahmen!$O$33)*(1-IF(N$6=01_Annahmen!$O$33,01_Annahmen!$K$33,IF(N$6=01_Annahmen!$O$33+1,(01_Annahmen!$K$33+01_Annahmen!$I$33)/2,01_Annahmen!$I$33))-01_Annahmen!$J$33))</f>
        <v>2124918.46790696</v>
      </c>
      <c r="O11" s="29" t="n">
        <f aca="false">IF(O$6&lt;01_Annahmen!$O$33,0,(1-$C$4*01_Annahmen!$P$33)*01_Annahmen!$H$33*(1+01_Annahmen!$L$33)^(O$6-01_Annahmen!$O$33)*(1-IF(O$6=01_Annahmen!$O$33,01_Annahmen!$K$33,IF(O$6=01_Annahmen!$O$33+1,(01_Annahmen!$K$33+01_Annahmen!$I$33)/2,01_Annahmen!$I$33))-01_Annahmen!$J$33))</f>
        <v>2146167.65258603</v>
      </c>
      <c r="P11" s="29" t="n">
        <f aca="false">IF(P$6&lt;01_Annahmen!$O$33,0,(1-$C$4*01_Annahmen!$P$33)*01_Annahmen!$H$33*(1+01_Annahmen!$L$33)^(P$6-01_Annahmen!$O$33)*(1-IF(P$6=01_Annahmen!$O$33,01_Annahmen!$K$33,IF(P$6=01_Annahmen!$O$33+1,(01_Annahmen!$K$33+01_Annahmen!$I$33)/2,01_Annahmen!$I$33))-01_Annahmen!$J$33))</f>
        <v>2167629.32911189</v>
      </c>
      <c r="Q11" s="29" t="n">
        <f aca="false">IF(Q$6&lt;01_Annahmen!$O$33,0,(1-$C$4*01_Annahmen!$P$33)*01_Annahmen!$H$33*(1+01_Annahmen!$L$33)^(Q$6-01_Annahmen!$O$33)*(1-IF(Q$6=01_Annahmen!$O$33,01_Annahmen!$K$33,IF(Q$6=01_Annahmen!$O$33+1,(01_Annahmen!$K$33+01_Annahmen!$I$33)/2,01_Annahmen!$I$33))-01_Annahmen!$J$33))</f>
        <v>2189305.62240301</v>
      </c>
      <c r="R11" s="29" t="n">
        <f aca="false">IF(R$6&lt;01_Annahmen!$O$33,0,(1-$C$4*01_Annahmen!$P$33)*01_Annahmen!$H$33*(1+01_Annahmen!$L$33)^(R$6-01_Annahmen!$O$33)*(1-IF(R$6=01_Annahmen!$O$33,01_Annahmen!$K$33,IF(R$6=01_Annahmen!$O$33+1,(01_Annahmen!$K$33+01_Annahmen!$I$33)/2,01_Annahmen!$I$33))-01_Annahmen!$J$33))</f>
        <v>2211198.67862704</v>
      </c>
      <c r="S11" s="29" t="n">
        <f aca="false">IF(S$6&lt;01_Annahmen!$O$33,0,(1-$C$4*01_Annahmen!$P$33)*01_Annahmen!$H$33*(1+01_Annahmen!$L$33)^(S$6-01_Annahmen!$O$33)*(1-IF(S$6=01_Annahmen!$O$33,01_Annahmen!$K$33,IF(S$6=01_Annahmen!$O$33+1,(01_Annahmen!$K$33+01_Annahmen!$I$33)/2,01_Annahmen!$I$33))-01_Annahmen!$J$33))</f>
        <v>2233310.66541331</v>
      </c>
    </row>
    <row r="12" customFormat="false" ht="15" hidden="false" customHeight="false" outlineLevel="0" collapsed="false">
      <c r="B12" s="5" t="s">
        <v>160</v>
      </c>
      <c r="D12" s="34" t="n">
        <f aca="false">SUM(D8:D11)</f>
        <v>68507992.5096236</v>
      </c>
      <c r="E12" s="34" t="n">
        <f aca="false">SUM(E8:E11)</f>
        <v>0</v>
      </c>
      <c r="F12" s="34" t="n">
        <f aca="false">SUM(F8:F11)</f>
        <v>0</v>
      </c>
      <c r="G12" s="34" t="n">
        <f aca="false">SUM(G8:G11)</f>
        <v>0</v>
      </c>
      <c r="H12" s="34" t="n">
        <f aca="false">SUM(H8:H11)</f>
        <v>627757.52</v>
      </c>
      <c r="I12" s="34" t="n">
        <f aca="false">SUM(I8:I11)</f>
        <v>2666524.468969</v>
      </c>
      <c r="J12" s="34" t="n">
        <f aca="false">SUM(J8:J11)</f>
        <v>3755919.20371462</v>
      </c>
      <c r="K12" s="34" t="n">
        <f aca="false">SUM(K8:K11)</f>
        <v>5916948.47628672</v>
      </c>
      <c r="L12" s="34" t="n">
        <f aca="false">SUM(L8:L11)</f>
        <v>6373804.67270751</v>
      </c>
      <c r="M12" s="34" t="n">
        <f aca="false">SUM(M8:M11)</f>
        <v>6839222.85370565</v>
      </c>
      <c r="N12" s="34" t="n">
        <f aca="false">SUM(N8:N11)</f>
        <v>6899851.96774077</v>
      </c>
      <c r="O12" s="34" t="n">
        <f aca="false">SUM(O8:O11)</f>
        <v>6961026.55635325</v>
      </c>
      <c r="P12" s="34" t="n">
        <f aca="false">SUM(P8:P11)</f>
        <v>7022751.59718446</v>
      </c>
      <c r="Q12" s="34" t="n">
        <f aca="false">SUM(Q8:Q11)</f>
        <v>7085032.11390404</v>
      </c>
      <c r="R12" s="34" t="n">
        <f aca="false">SUM(R8:R11)</f>
        <v>7147873.17664065</v>
      </c>
      <c r="S12" s="34" t="n">
        <f aca="false">SUM(S8:S11)</f>
        <v>7211279.90241688</v>
      </c>
    </row>
    <row r="13" customFormat="false" ht="15" hidden="false" customHeight="false" outlineLevel="0" collapsed="false">
      <c r="B13" s="7" t="s">
        <v>161</v>
      </c>
      <c r="C13" s="7" t="s">
        <v>103</v>
      </c>
      <c r="D13" s="29" t="n">
        <f aca="false">SUM(E13:S13)</f>
        <v>0</v>
      </c>
      <c r="E13" s="29" t="n">
        <f aca="false">IF(E$6=01_Annahmen!$S$30,$C$4*01_Annahmen!$P$30*01_Annahmen!$Q$30*(1-01_Annahmen!$R$30),0)</f>
        <v>0</v>
      </c>
      <c r="F13" s="29" t="n">
        <f aca="false">IF(F$6=01_Annahmen!$S$30,$C$4*01_Annahmen!$P$30*01_Annahmen!$Q$30*(1-01_Annahmen!$R$30),0)</f>
        <v>0</v>
      </c>
      <c r="G13" s="29" t="n">
        <f aca="false">IF(G$6=01_Annahmen!$S$30,$C$4*01_Annahmen!$P$30*01_Annahmen!$Q$30*(1-01_Annahmen!$R$30),0)</f>
        <v>0</v>
      </c>
      <c r="H13" s="29" t="n">
        <f aca="false">IF(H$6=01_Annahmen!$S$30,$C$4*01_Annahmen!$P$30*01_Annahmen!$Q$30*(1-01_Annahmen!$R$30),0)</f>
        <v>0</v>
      </c>
      <c r="I13" s="29" t="n">
        <f aca="false">IF(I$6=01_Annahmen!$S$30,$C$4*01_Annahmen!$P$30*01_Annahmen!$Q$30*(1-01_Annahmen!$R$30),0)</f>
        <v>0</v>
      </c>
      <c r="J13" s="29" t="n">
        <f aca="false">IF(J$6=01_Annahmen!$S$30,$C$4*01_Annahmen!$P$30*01_Annahmen!$Q$30*(1-01_Annahmen!$R$30),0)</f>
        <v>0</v>
      </c>
      <c r="K13" s="29" t="n">
        <f aca="false">IF(K$6=01_Annahmen!$S$30,$C$4*01_Annahmen!$P$30*01_Annahmen!$Q$30*(1-01_Annahmen!$R$30),0)</f>
        <v>0</v>
      </c>
      <c r="L13" s="29" t="n">
        <f aca="false">IF(L$6=01_Annahmen!$S$30,$C$4*01_Annahmen!$P$30*01_Annahmen!$Q$30*(1-01_Annahmen!$R$30),0)</f>
        <v>0</v>
      </c>
      <c r="M13" s="29" t="n">
        <f aca="false">IF(M$6=01_Annahmen!$S$30,$C$4*01_Annahmen!$P$30*01_Annahmen!$Q$30*(1-01_Annahmen!$R$30),0)</f>
        <v>0</v>
      </c>
      <c r="N13" s="29" t="n">
        <f aca="false">IF(N$6=01_Annahmen!$S$30,$C$4*01_Annahmen!$P$30*01_Annahmen!$Q$30*(1-01_Annahmen!$R$30),0)</f>
        <v>0</v>
      </c>
      <c r="O13" s="29" t="n">
        <f aca="false">IF(O$6=01_Annahmen!$S$30,$C$4*01_Annahmen!$P$30*01_Annahmen!$Q$30*(1-01_Annahmen!$R$30),0)</f>
        <v>0</v>
      </c>
      <c r="P13" s="29" t="n">
        <f aca="false">IF(P$6=01_Annahmen!$S$30,$C$4*01_Annahmen!$P$30*01_Annahmen!$Q$30*(1-01_Annahmen!$R$30),0)</f>
        <v>0</v>
      </c>
      <c r="Q13" s="29" t="n">
        <f aca="false">IF(Q$6=01_Annahmen!$S$30,$C$4*01_Annahmen!$P$30*01_Annahmen!$Q$30*(1-01_Annahmen!$R$30),0)</f>
        <v>0</v>
      </c>
      <c r="R13" s="29" t="n">
        <f aca="false">IF(R$6=01_Annahmen!$S$30,$C$4*01_Annahmen!$P$30*01_Annahmen!$Q$30*(1-01_Annahmen!$R$30),0)</f>
        <v>0</v>
      </c>
      <c r="S13" s="29" t="n">
        <f aca="false">IF(S$6=01_Annahmen!$S$30,$C$4*01_Annahmen!$P$30*01_Annahmen!$Q$30*(1-01_Annahmen!$R$30),0)</f>
        <v>0</v>
      </c>
    </row>
    <row r="14" customFormat="false" ht="15" hidden="false" customHeight="false" outlineLevel="0" collapsed="false">
      <c r="B14" s="7" t="s">
        <v>161</v>
      </c>
      <c r="C14" s="7" t="s">
        <v>105</v>
      </c>
      <c r="D14" s="29" t="n">
        <f aca="false">SUM(E14:S14)</f>
        <v>0</v>
      </c>
      <c r="E14" s="29" t="n">
        <f aca="false">IF(E$6=01_Annahmen!$S$31,$C$4*01_Annahmen!$P$31*01_Annahmen!$Q$31*(1-01_Annahmen!$R$31),0)</f>
        <v>0</v>
      </c>
      <c r="F14" s="29" t="n">
        <f aca="false">IF(F$6=01_Annahmen!$S$31,$C$4*01_Annahmen!$P$31*01_Annahmen!$Q$31*(1-01_Annahmen!$R$31),0)</f>
        <v>0</v>
      </c>
      <c r="G14" s="29" t="n">
        <f aca="false">IF(G$6=01_Annahmen!$S$31,$C$4*01_Annahmen!$P$31*01_Annahmen!$Q$31*(1-01_Annahmen!$R$31),0)</f>
        <v>0</v>
      </c>
      <c r="H14" s="29" t="n">
        <f aca="false">IF(H$6=01_Annahmen!$S$31,$C$4*01_Annahmen!$P$31*01_Annahmen!$Q$31*(1-01_Annahmen!$R$31),0)</f>
        <v>0</v>
      </c>
      <c r="I14" s="29" t="n">
        <f aca="false">IF(I$6=01_Annahmen!$S$31,$C$4*01_Annahmen!$P$31*01_Annahmen!$Q$31*(1-01_Annahmen!$R$31),0)</f>
        <v>0</v>
      </c>
      <c r="J14" s="29" t="n">
        <f aca="false">IF(J$6=01_Annahmen!$S$31,$C$4*01_Annahmen!$P$31*01_Annahmen!$Q$31*(1-01_Annahmen!$R$31),0)</f>
        <v>0</v>
      </c>
      <c r="K14" s="29" t="n">
        <f aca="false">IF(K$6=01_Annahmen!$S$31,$C$4*01_Annahmen!$P$31*01_Annahmen!$Q$31*(1-01_Annahmen!$R$31),0)</f>
        <v>0</v>
      </c>
      <c r="L14" s="29" t="n">
        <f aca="false">IF(L$6=01_Annahmen!$S$31,$C$4*01_Annahmen!$P$31*01_Annahmen!$Q$31*(1-01_Annahmen!$R$31),0)</f>
        <v>0</v>
      </c>
      <c r="M14" s="29" t="n">
        <f aca="false">IF(M$6=01_Annahmen!$S$31,$C$4*01_Annahmen!$P$31*01_Annahmen!$Q$31*(1-01_Annahmen!$R$31),0)</f>
        <v>0</v>
      </c>
      <c r="N14" s="29" t="n">
        <f aca="false">IF(N$6=01_Annahmen!$S$31,$C$4*01_Annahmen!$P$31*01_Annahmen!$Q$31*(1-01_Annahmen!$R$31),0)</f>
        <v>0</v>
      </c>
      <c r="O14" s="29" t="n">
        <f aca="false">IF(O$6=01_Annahmen!$S$31,$C$4*01_Annahmen!$P$31*01_Annahmen!$Q$31*(1-01_Annahmen!$R$31),0)</f>
        <v>0</v>
      </c>
      <c r="P14" s="29" t="n">
        <f aca="false">IF(P$6=01_Annahmen!$S$31,$C$4*01_Annahmen!$P$31*01_Annahmen!$Q$31*(1-01_Annahmen!$R$31),0)</f>
        <v>0</v>
      </c>
      <c r="Q14" s="29" t="n">
        <f aca="false">IF(Q$6=01_Annahmen!$S$31,$C$4*01_Annahmen!$P$31*01_Annahmen!$Q$31*(1-01_Annahmen!$R$31),0)</f>
        <v>0</v>
      </c>
      <c r="R14" s="29" t="n">
        <f aca="false">IF(R$6=01_Annahmen!$S$31,$C$4*01_Annahmen!$P$31*01_Annahmen!$Q$31*(1-01_Annahmen!$R$31),0)</f>
        <v>0</v>
      </c>
      <c r="S14" s="29" t="n">
        <f aca="false">IF(S$6=01_Annahmen!$S$31,$C$4*01_Annahmen!$P$31*01_Annahmen!$Q$31*(1-01_Annahmen!$R$31),0)</f>
        <v>0</v>
      </c>
    </row>
    <row r="15" customFormat="false" ht="15" hidden="false" customHeight="false" outlineLevel="0" collapsed="false">
      <c r="B15" s="7" t="s">
        <v>161</v>
      </c>
      <c r="C15" s="7" t="s">
        <v>107</v>
      </c>
      <c r="D15" s="29" t="n">
        <f aca="false">SUM(E15:S15)</f>
        <v>0</v>
      </c>
      <c r="E15" s="29" t="n">
        <f aca="false">IF(E$6=01_Annahmen!$S$32,$C$4*01_Annahmen!$P$32*01_Annahmen!$Q$32*(1-01_Annahmen!$R$32),0)</f>
        <v>0</v>
      </c>
      <c r="F15" s="29" t="n">
        <f aca="false">IF(F$6=01_Annahmen!$S$32,$C$4*01_Annahmen!$P$32*01_Annahmen!$Q$32*(1-01_Annahmen!$R$32),0)</f>
        <v>0</v>
      </c>
      <c r="G15" s="29" t="n">
        <f aca="false">IF(G$6=01_Annahmen!$S$32,$C$4*01_Annahmen!$P$32*01_Annahmen!$Q$32*(1-01_Annahmen!$R$32),0)</f>
        <v>0</v>
      </c>
      <c r="H15" s="29" t="n">
        <f aca="false">IF(H$6=01_Annahmen!$S$32,$C$4*01_Annahmen!$P$32*01_Annahmen!$Q$32*(1-01_Annahmen!$R$32),0)</f>
        <v>0</v>
      </c>
      <c r="I15" s="29" t="n">
        <f aca="false">IF(I$6=01_Annahmen!$S$32,$C$4*01_Annahmen!$P$32*01_Annahmen!$Q$32*(1-01_Annahmen!$R$32),0)</f>
        <v>0</v>
      </c>
      <c r="J15" s="29" t="n">
        <f aca="false">IF(J$6=01_Annahmen!$S$32,$C$4*01_Annahmen!$P$32*01_Annahmen!$Q$32*(1-01_Annahmen!$R$32),0)</f>
        <v>0</v>
      </c>
      <c r="K15" s="29" t="n">
        <f aca="false">IF(K$6=01_Annahmen!$S$32,$C$4*01_Annahmen!$P$32*01_Annahmen!$Q$32*(1-01_Annahmen!$R$32),0)</f>
        <v>0</v>
      </c>
      <c r="L15" s="29" t="n">
        <f aca="false">IF(L$6=01_Annahmen!$S$32,$C$4*01_Annahmen!$P$32*01_Annahmen!$Q$32*(1-01_Annahmen!$R$32),0)</f>
        <v>0</v>
      </c>
      <c r="M15" s="29" t="n">
        <f aca="false">IF(M$6=01_Annahmen!$S$32,$C$4*01_Annahmen!$P$32*01_Annahmen!$Q$32*(1-01_Annahmen!$R$32),0)</f>
        <v>0</v>
      </c>
      <c r="N15" s="29" t="n">
        <f aca="false">IF(N$6=01_Annahmen!$S$32,$C$4*01_Annahmen!$P$32*01_Annahmen!$Q$32*(1-01_Annahmen!$R$32),0)</f>
        <v>0</v>
      </c>
      <c r="O15" s="29" t="n">
        <f aca="false">IF(O$6=01_Annahmen!$S$32,$C$4*01_Annahmen!$P$32*01_Annahmen!$Q$32*(1-01_Annahmen!$R$32),0)</f>
        <v>0</v>
      </c>
      <c r="P15" s="29" t="n">
        <f aca="false">IF(P$6=01_Annahmen!$S$32,$C$4*01_Annahmen!$P$32*01_Annahmen!$Q$32*(1-01_Annahmen!$R$32),0)</f>
        <v>0</v>
      </c>
      <c r="Q15" s="29" t="n">
        <f aca="false">IF(Q$6=01_Annahmen!$S$32,$C$4*01_Annahmen!$P$32*01_Annahmen!$Q$32*(1-01_Annahmen!$R$32),0)</f>
        <v>0</v>
      </c>
      <c r="R15" s="29" t="n">
        <f aca="false">IF(R$6=01_Annahmen!$S$32,$C$4*01_Annahmen!$P$32*01_Annahmen!$Q$32*(1-01_Annahmen!$R$32),0)</f>
        <v>0</v>
      </c>
      <c r="S15" s="29" t="n">
        <f aca="false">IF(S$6=01_Annahmen!$S$32,$C$4*01_Annahmen!$P$32*01_Annahmen!$Q$32*(1-01_Annahmen!$R$32),0)</f>
        <v>0</v>
      </c>
    </row>
    <row r="16" customFormat="false" ht="15" hidden="false" customHeight="false" outlineLevel="0" collapsed="false">
      <c r="B16" s="7" t="s">
        <v>161</v>
      </c>
      <c r="C16" s="7" t="s">
        <v>109</v>
      </c>
      <c r="D16" s="29" t="n">
        <f aca="false">SUM(E16:S16)</f>
        <v>0</v>
      </c>
      <c r="E16" s="29" t="n">
        <f aca="false">IF(E$6=01_Annahmen!$S$33,$C$4*01_Annahmen!$P$33*01_Annahmen!$Q$33*(1-01_Annahmen!$R$33),0)</f>
        <v>0</v>
      </c>
      <c r="F16" s="29" t="n">
        <f aca="false">IF(F$6=01_Annahmen!$S$33,$C$4*01_Annahmen!$P$33*01_Annahmen!$Q$33*(1-01_Annahmen!$R$33),0)</f>
        <v>0</v>
      </c>
      <c r="G16" s="29" t="n">
        <f aca="false">IF(G$6=01_Annahmen!$S$33,$C$4*01_Annahmen!$P$33*01_Annahmen!$Q$33*(1-01_Annahmen!$R$33),0)</f>
        <v>0</v>
      </c>
      <c r="H16" s="29" t="n">
        <f aca="false">IF(H$6=01_Annahmen!$S$33,$C$4*01_Annahmen!$P$33*01_Annahmen!$Q$33*(1-01_Annahmen!$R$33),0)</f>
        <v>0</v>
      </c>
      <c r="I16" s="29" t="n">
        <f aca="false">IF(I$6=01_Annahmen!$S$33,$C$4*01_Annahmen!$P$33*01_Annahmen!$Q$33*(1-01_Annahmen!$R$33),0)</f>
        <v>0</v>
      </c>
      <c r="J16" s="29" t="n">
        <f aca="false">IF(J$6=01_Annahmen!$S$33,$C$4*01_Annahmen!$P$33*01_Annahmen!$Q$33*(1-01_Annahmen!$R$33),0)</f>
        <v>0</v>
      </c>
      <c r="K16" s="29" t="n">
        <f aca="false">IF(K$6=01_Annahmen!$S$33,$C$4*01_Annahmen!$P$33*01_Annahmen!$Q$33*(1-01_Annahmen!$R$33),0)</f>
        <v>0</v>
      </c>
      <c r="L16" s="29" t="n">
        <f aca="false">IF(L$6=01_Annahmen!$S$33,$C$4*01_Annahmen!$P$33*01_Annahmen!$Q$33*(1-01_Annahmen!$R$33),0)</f>
        <v>0</v>
      </c>
      <c r="M16" s="29" t="n">
        <f aca="false">IF(M$6=01_Annahmen!$S$33,$C$4*01_Annahmen!$P$33*01_Annahmen!$Q$33*(1-01_Annahmen!$R$33),0)</f>
        <v>0</v>
      </c>
      <c r="N16" s="29" t="n">
        <f aca="false">IF(N$6=01_Annahmen!$S$33,$C$4*01_Annahmen!$P$33*01_Annahmen!$Q$33*(1-01_Annahmen!$R$33),0)</f>
        <v>0</v>
      </c>
      <c r="O16" s="29" t="n">
        <f aca="false">IF(O$6=01_Annahmen!$S$33,$C$4*01_Annahmen!$P$33*01_Annahmen!$Q$33*(1-01_Annahmen!$R$33),0)</f>
        <v>0</v>
      </c>
      <c r="P16" s="29" t="n">
        <f aca="false">IF(P$6=01_Annahmen!$S$33,$C$4*01_Annahmen!$P$33*01_Annahmen!$Q$33*(1-01_Annahmen!$R$33),0)</f>
        <v>0</v>
      </c>
      <c r="Q16" s="29" t="n">
        <f aca="false">IF(Q$6=01_Annahmen!$S$33,$C$4*01_Annahmen!$P$33*01_Annahmen!$Q$33*(1-01_Annahmen!$R$33),0)</f>
        <v>0</v>
      </c>
      <c r="R16" s="29" t="n">
        <f aca="false">IF(R$6=01_Annahmen!$S$33,$C$4*01_Annahmen!$P$33*01_Annahmen!$Q$33*(1-01_Annahmen!$R$33),0)</f>
        <v>0</v>
      </c>
      <c r="S16" s="29" t="n">
        <f aca="false">IF(S$6=01_Annahmen!$S$33,$C$4*01_Annahmen!$P$33*01_Annahmen!$Q$33*(1-01_Annahmen!$R$33),0)</f>
        <v>0</v>
      </c>
    </row>
    <row r="17" customFormat="false" ht="15" hidden="false" customHeight="false" outlineLevel="0" collapsed="false">
      <c r="B17" s="5" t="s">
        <v>162</v>
      </c>
      <c r="D17" s="34" t="n">
        <f aca="false">SUM(D13:D16)</f>
        <v>0</v>
      </c>
      <c r="E17" s="34" t="n">
        <f aca="false">SUM(E13:E16)</f>
        <v>0</v>
      </c>
      <c r="F17" s="34" t="n">
        <f aca="false">SUM(F13:F16)</f>
        <v>0</v>
      </c>
      <c r="G17" s="34" t="n">
        <f aca="false">SUM(G13:G16)</f>
        <v>0</v>
      </c>
      <c r="H17" s="34" t="n">
        <f aca="false">SUM(H13:H16)</f>
        <v>0</v>
      </c>
      <c r="I17" s="34" t="n">
        <f aca="false">SUM(I13:I16)</f>
        <v>0</v>
      </c>
      <c r="J17" s="34" t="n">
        <f aca="false">SUM(J13:J16)</f>
        <v>0</v>
      </c>
      <c r="K17" s="34" t="n">
        <f aca="false">SUM(K13:K16)</f>
        <v>0</v>
      </c>
      <c r="L17" s="34" t="n">
        <f aca="false">SUM(L13:L16)</f>
        <v>0</v>
      </c>
      <c r="M17" s="34" t="n">
        <f aca="false">SUM(M13:M16)</f>
        <v>0</v>
      </c>
      <c r="N17" s="34" t="n">
        <f aca="false">SUM(N13:N16)</f>
        <v>0</v>
      </c>
      <c r="O17" s="34" t="n">
        <f aca="false">SUM(O13:O16)</f>
        <v>0</v>
      </c>
      <c r="P17" s="34" t="n">
        <f aca="false">SUM(P13:P16)</f>
        <v>0</v>
      </c>
      <c r="Q17" s="34" t="n">
        <f aca="false">SUM(Q13:Q16)</f>
        <v>0</v>
      </c>
      <c r="R17" s="34" t="n">
        <f aca="false">SUM(R13:R16)</f>
        <v>0</v>
      </c>
      <c r="S17" s="34" t="n">
        <f aca="false">SUM(S13:S16)</f>
        <v>0</v>
      </c>
    </row>
    <row r="18" customFormat="false" ht="15" hidden="false" customHeight="false" outlineLevel="0" collapsed="false">
      <c r="B18" s="7" t="s">
        <v>163</v>
      </c>
      <c r="D18" s="29" t="n">
        <f aca="false">SUM(E18:S18)</f>
        <v>-117670859</v>
      </c>
      <c r="E18" s="8" t="n">
        <f aca="false">-02_Investitionen!E16</f>
        <v>-1262500</v>
      </c>
      <c r="F18" s="8" t="n">
        <f aca="false">-02_Investitionen!F16</f>
        <v>-6375000</v>
      </c>
      <c r="G18" s="8" t="n">
        <f aca="false">-02_Investitionen!G16</f>
        <v>-36242361.5</v>
      </c>
      <c r="H18" s="8" t="n">
        <f aca="false">-02_Investitionen!H16</f>
        <v>-30381791.7</v>
      </c>
      <c r="I18" s="8" t="n">
        <f aca="false">-02_Investitionen!I16</f>
        <v>-23667789.3</v>
      </c>
      <c r="J18" s="8" t="n">
        <f aca="false">-02_Investitionen!J16</f>
        <v>-19741416.5</v>
      </c>
      <c r="K18" s="8" t="n">
        <f aca="false">-02_Investitionen!K16</f>
        <v>-0</v>
      </c>
      <c r="L18" s="8" t="n">
        <f aca="false">-02_Investitionen!L16</f>
        <v>-0</v>
      </c>
      <c r="M18" s="8" t="n">
        <f aca="false">-02_Investitionen!M16</f>
        <v>-0</v>
      </c>
      <c r="N18" s="8" t="n">
        <f aca="false">-02_Investitionen!N16</f>
        <v>-0</v>
      </c>
      <c r="O18" s="8" t="n">
        <f aca="false">-02_Investitionen!O16</f>
        <v>-0</v>
      </c>
      <c r="P18" s="8" t="n">
        <f aca="false">-02_Investitionen!P16</f>
        <v>-0</v>
      </c>
      <c r="Q18" s="8" t="n">
        <f aca="false">-02_Investitionen!Q16</f>
        <v>-0</v>
      </c>
      <c r="R18" s="8" t="n">
        <f aca="false">-02_Investitionen!R16</f>
        <v>-0</v>
      </c>
      <c r="S18" s="8" t="n">
        <f aca="false">-02_Investitionen!S16</f>
        <v>-0</v>
      </c>
    </row>
    <row r="19" customFormat="false" ht="15" hidden="false" customHeight="false" outlineLevel="0" collapsed="false">
      <c r="B19" s="7" t="s">
        <v>164</v>
      </c>
      <c r="D19" s="29" t="n">
        <f aca="false">SUM(E19:S19)</f>
        <v>-46101459</v>
      </c>
      <c r="E19" s="29" t="n">
        <f aca="false">IF(E$6=2026,-01_Annahmen!$C$25,0)</f>
        <v>-46101459</v>
      </c>
      <c r="F19" s="29" t="n">
        <f aca="false">IF(F$6=2026,-01_Annahmen!$C$25,0)</f>
        <v>0</v>
      </c>
      <c r="G19" s="29" t="n">
        <f aca="false">IF(G$6=2026,-01_Annahmen!$C$25,0)</f>
        <v>0</v>
      </c>
      <c r="H19" s="29" t="n">
        <f aca="false">IF(H$6=2026,-01_Annahmen!$C$25,0)</f>
        <v>0</v>
      </c>
      <c r="I19" s="29" t="n">
        <f aca="false">IF(I$6=2026,-01_Annahmen!$C$25,0)</f>
        <v>0</v>
      </c>
      <c r="J19" s="29" t="n">
        <f aca="false">IF(J$6=2026,-01_Annahmen!$C$25,0)</f>
        <v>0</v>
      </c>
      <c r="K19" s="29" t="n">
        <f aca="false">IF(K$6=2026,-01_Annahmen!$C$25,0)</f>
        <v>0</v>
      </c>
      <c r="L19" s="29" t="n">
        <f aca="false">IF(L$6=2026,-01_Annahmen!$C$25,0)</f>
        <v>0</v>
      </c>
      <c r="M19" s="29" t="n">
        <f aca="false">IF(M$6=2026,-01_Annahmen!$C$25,0)</f>
        <v>0</v>
      </c>
      <c r="N19" s="29" t="n">
        <f aca="false">IF(N$6=2026,-01_Annahmen!$C$25,0)</f>
        <v>0</v>
      </c>
      <c r="O19" s="29" t="n">
        <f aca="false">IF(O$6=2026,-01_Annahmen!$C$25,0)</f>
        <v>0</v>
      </c>
      <c r="P19" s="29" t="n">
        <f aca="false">IF(P$6=2026,-01_Annahmen!$C$25,0)</f>
        <v>0</v>
      </c>
      <c r="Q19" s="29" t="n">
        <f aca="false">IF(Q$6=2026,-01_Annahmen!$C$25,0)</f>
        <v>0</v>
      </c>
      <c r="R19" s="29" t="n">
        <f aca="false">IF(R$6=2026,-01_Annahmen!$C$25,0)</f>
        <v>0</v>
      </c>
      <c r="S19" s="29" t="n">
        <f aca="false">IF(S$6=2026,-01_Annahmen!$C$25,0)</f>
        <v>0</v>
      </c>
      <c r="T19" s="38" t="s">
        <v>165</v>
      </c>
      <c r="U19" s="38" t="s">
        <v>166</v>
      </c>
    </row>
    <row r="20" customFormat="false" ht="15" hidden="false" customHeight="false" outlineLevel="0" collapsed="false">
      <c r="B20" s="7" t="s">
        <v>29</v>
      </c>
      <c r="C20" s="7" t="s">
        <v>103</v>
      </c>
      <c r="D20" s="29" t="n">
        <f aca="false">SUM(E20:S20)</f>
        <v>32096758.1753924</v>
      </c>
      <c r="E20" s="29" t="n">
        <f aca="false">IF(E$6=01_Annahmen!$C$14,E8*(1+01_Annahmen!$L$30)/(01_Annahmen!$M$30+01_Annahmen!$C$13),0)</f>
        <v>0</v>
      </c>
      <c r="F20" s="29" t="n">
        <f aca="false">IF(F$6=01_Annahmen!$C$14,F8*(1+01_Annahmen!$L$30)/(01_Annahmen!$M$30+01_Annahmen!$C$13),0)</f>
        <v>0</v>
      </c>
      <c r="G20" s="29" t="n">
        <f aca="false">IF(G$6=01_Annahmen!$C$14,G8*(1+01_Annahmen!$L$30)/(01_Annahmen!$M$30+01_Annahmen!$C$13),0)</f>
        <v>0</v>
      </c>
      <c r="H20" s="29" t="n">
        <f aca="false">IF(H$6=01_Annahmen!$C$14,H8*(1+01_Annahmen!$L$30)/(01_Annahmen!$M$30+01_Annahmen!$C$13),0)</f>
        <v>0</v>
      </c>
      <c r="I20" s="29" t="n">
        <f aca="false">IF(I$6=01_Annahmen!$C$14,I8*(1+01_Annahmen!$L$30)/(01_Annahmen!$M$30+01_Annahmen!$C$13),0)</f>
        <v>0</v>
      </c>
      <c r="J20" s="29" t="n">
        <f aca="false">IF(J$6=01_Annahmen!$C$14,J8*(1+01_Annahmen!$L$30)/(01_Annahmen!$M$30+01_Annahmen!$C$13),0)</f>
        <v>0</v>
      </c>
      <c r="K20" s="29" t="n">
        <f aca="false">IF(K$6=01_Annahmen!$C$14,K8*(1+01_Annahmen!$L$30)/(01_Annahmen!$M$30+01_Annahmen!$C$13),0)</f>
        <v>0</v>
      </c>
      <c r="L20" s="29" t="n">
        <f aca="false">IF(L$6=01_Annahmen!$C$14,L8*(1+01_Annahmen!$L$30)/(01_Annahmen!$M$30+01_Annahmen!$C$13),0)</f>
        <v>0</v>
      </c>
      <c r="M20" s="29" t="n">
        <f aca="false">IF(M$6=01_Annahmen!$C$14,M8*(1+01_Annahmen!$L$30)/(01_Annahmen!$M$30+01_Annahmen!$C$13),0)</f>
        <v>0</v>
      </c>
      <c r="N20" s="29" t="n">
        <f aca="false">IF(N$6=01_Annahmen!$C$14,N8*(1+01_Annahmen!$L$30)/(01_Annahmen!$M$30+01_Annahmen!$C$13),0)</f>
        <v>0</v>
      </c>
      <c r="O20" s="29" t="n">
        <f aca="false">IF(O$6=01_Annahmen!$C$14,O8*(1+01_Annahmen!$L$30)/(01_Annahmen!$M$30+01_Annahmen!$C$13),0)</f>
        <v>0</v>
      </c>
      <c r="P20" s="29" t="n">
        <f aca="false">IF(P$6=01_Annahmen!$C$14,P8*(1+01_Annahmen!$L$30)/(01_Annahmen!$M$30+01_Annahmen!$C$13),0)</f>
        <v>0</v>
      </c>
      <c r="Q20" s="29" t="n">
        <f aca="false">IF(Q$6=01_Annahmen!$C$14,Q8*(1+01_Annahmen!$L$30)/(01_Annahmen!$M$30+01_Annahmen!$C$13),0)</f>
        <v>0</v>
      </c>
      <c r="R20" s="29" t="n">
        <f aca="false">IF(R$6=01_Annahmen!$C$14,R8*(1+01_Annahmen!$L$30)/(01_Annahmen!$M$30+01_Annahmen!$C$13),0)</f>
        <v>0</v>
      </c>
      <c r="S20" s="29" t="n">
        <f aca="false">IF(S$6=01_Annahmen!$C$14,S8*(1+01_Annahmen!$L$30)/(01_Annahmen!$M$30+01_Annahmen!$C$13),0)</f>
        <v>32096758.1753924</v>
      </c>
      <c r="T20" s="29" t="n">
        <f aca="false">S8*(1+01_Annahmen!$L$30)</f>
        <v>1158051.03496816</v>
      </c>
      <c r="U20" s="20" t="n">
        <f aca="false">01_Annahmen!$M$30</f>
        <v>0.03458</v>
      </c>
    </row>
    <row r="21" customFormat="false" ht="15" hidden="false" customHeight="false" outlineLevel="0" collapsed="false">
      <c r="B21" s="7" t="s">
        <v>29</v>
      </c>
      <c r="C21" s="7" t="s">
        <v>105</v>
      </c>
      <c r="D21" s="29" t="n">
        <f aca="false">SUM(E21:S21)</f>
        <v>37956122.5461396</v>
      </c>
      <c r="E21" s="29" t="n">
        <f aca="false">IF(E$6=01_Annahmen!$C$14,E9*(1+01_Annahmen!$L$31)/(01_Annahmen!$M$31+01_Annahmen!$C$13),0)</f>
        <v>0</v>
      </c>
      <c r="F21" s="29" t="n">
        <f aca="false">IF(F$6=01_Annahmen!$C$14,F9*(1+01_Annahmen!$L$31)/(01_Annahmen!$M$31+01_Annahmen!$C$13),0)</f>
        <v>0</v>
      </c>
      <c r="G21" s="29" t="n">
        <f aca="false">IF(G$6=01_Annahmen!$C$14,G9*(1+01_Annahmen!$L$31)/(01_Annahmen!$M$31+01_Annahmen!$C$13),0)</f>
        <v>0</v>
      </c>
      <c r="H21" s="29" t="n">
        <f aca="false">IF(H$6=01_Annahmen!$C$14,H9*(1+01_Annahmen!$L$31)/(01_Annahmen!$M$31+01_Annahmen!$C$13),0)</f>
        <v>0</v>
      </c>
      <c r="I21" s="29" t="n">
        <f aca="false">IF(I$6=01_Annahmen!$C$14,I9*(1+01_Annahmen!$L$31)/(01_Annahmen!$M$31+01_Annahmen!$C$13),0)</f>
        <v>0</v>
      </c>
      <c r="J21" s="29" t="n">
        <f aca="false">IF(J$6=01_Annahmen!$C$14,J9*(1+01_Annahmen!$L$31)/(01_Annahmen!$M$31+01_Annahmen!$C$13),0)</f>
        <v>0</v>
      </c>
      <c r="K21" s="29" t="n">
        <f aca="false">IF(K$6=01_Annahmen!$C$14,K9*(1+01_Annahmen!$L$31)/(01_Annahmen!$M$31+01_Annahmen!$C$13),0)</f>
        <v>0</v>
      </c>
      <c r="L21" s="29" t="n">
        <f aca="false">IF(L$6=01_Annahmen!$C$14,L9*(1+01_Annahmen!$L$31)/(01_Annahmen!$M$31+01_Annahmen!$C$13),0)</f>
        <v>0</v>
      </c>
      <c r="M21" s="29" t="n">
        <f aca="false">IF(M$6=01_Annahmen!$C$14,M9*(1+01_Annahmen!$L$31)/(01_Annahmen!$M$31+01_Annahmen!$C$13),0)</f>
        <v>0</v>
      </c>
      <c r="N21" s="29" t="n">
        <f aca="false">IF(N$6=01_Annahmen!$C$14,N9*(1+01_Annahmen!$L$31)/(01_Annahmen!$M$31+01_Annahmen!$C$13),0)</f>
        <v>0</v>
      </c>
      <c r="O21" s="29" t="n">
        <f aca="false">IF(O$6=01_Annahmen!$C$14,O9*(1+01_Annahmen!$L$31)/(01_Annahmen!$M$31+01_Annahmen!$C$13),0)</f>
        <v>0</v>
      </c>
      <c r="P21" s="29" t="n">
        <f aca="false">IF(P$6=01_Annahmen!$C$14,P9*(1+01_Annahmen!$L$31)/(01_Annahmen!$M$31+01_Annahmen!$C$13),0)</f>
        <v>0</v>
      </c>
      <c r="Q21" s="29" t="n">
        <f aca="false">IF(Q$6=01_Annahmen!$C$14,Q9*(1+01_Annahmen!$L$31)/(01_Annahmen!$M$31+01_Annahmen!$C$13),0)</f>
        <v>0</v>
      </c>
      <c r="R21" s="29" t="n">
        <f aca="false">IF(R$6=01_Annahmen!$C$14,R9*(1+01_Annahmen!$L$31)/(01_Annahmen!$M$31+01_Annahmen!$C$13),0)</f>
        <v>0</v>
      </c>
      <c r="S21" s="29" t="n">
        <f aca="false">IF(S$6=01_Annahmen!$C$14,S9*(1+01_Annahmen!$L$31)/(01_Annahmen!$M$31+01_Annahmen!$C$13),0)</f>
        <v>37956122.5461396</v>
      </c>
      <c r="T21" s="29" t="n">
        <f aca="false">S9*(1+01_Annahmen!$L$31)</f>
        <v>1781280.83109033</v>
      </c>
      <c r="U21" s="20" t="n">
        <f aca="false">01_Annahmen!$M$31</f>
        <v>0.04543</v>
      </c>
    </row>
    <row r="22" customFormat="false" ht="15" hidden="false" customHeight="false" outlineLevel="0" collapsed="false">
      <c r="B22" s="7" t="s">
        <v>29</v>
      </c>
      <c r="C22" s="7" t="s">
        <v>107</v>
      </c>
      <c r="D22" s="29" t="n">
        <f aca="false">SUM(E22:S22)</f>
        <v>39132464.5873271</v>
      </c>
      <c r="E22" s="29" t="n">
        <f aca="false">IF(E$6=01_Annahmen!$C$14,E10*(1+01_Annahmen!$L$32)/(01_Annahmen!$M$32+01_Annahmen!$C$13),0)</f>
        <v>0</v>
      </c>
      <c r="F22" s="29" t="n">
        <f aca="false">IF(F$6=01_Annahmen!$C$14,F10*(1+01_Annahmen!$L$32)/(01_Annahmen!$M$32+01_Annahmen!$C$13),0)</f>
        <v>0</v>
      </c>
      <c r="G22" s="29" t="n">
        <f aca="false">IF(G$6=01_Annahmen!$C$14,G10*(1+01_Annahmen!$L$32)/(01_Annahmen!$M$32+01_Annahmen!$C$13),0)</f>
        <v>0</v>
      </c>
      <c r="H22" s="29" t="n">
        <f aca="false">IF(H$6=01_Annahmen!$C$14,H10*(1+01_Annahmen!$L$32)/(01_Annahmen!$M$32+01_Annahmen!$C$13),0)</f>
        <v>0</v>
      </c>
      <c r="I22" s="29" t="n">
        <f aca="false">IF(I$6=01_Annahmen!$C$14,I10*(1+01_Annahmen!$L$32)/(01_Annahmen!$M$32+01_Annahmen!$C$13),0)</f>
        <v>0</v>
      </c>
      <c r="J22" s="29" t="n">
        <f aca="false">IF(J$6=01_Annahmen!$C$14,J10*(1+01_Annahmen!$L$32)/(01_Annahmen!$M$32+01_Annahmen!$C$13),0)</f>
        <v>0</v>
      </c>
      <c r="K22" s="29" t="n">
        <f aca="false">IF(K$6=01_Annahmen!$C$14,K10*(1+01_Annahmen!$L$32)/(01_Annahmen!$M$32+01_Annahmen!$C$13),0)</f>
        <v>0</v>
      </c>
      <c r="L22" s="29" t="n">
        <f aca="false">IF(L$6=01_Annahmen!$C$14,L10*(1+01_Annahmen!$L$32)/(01_Annahmen!$M$32+01_Annahmen!$C$13),0)</f>
        <v>0</v>
      </c>
      <c r="M22" s="29" t="n">
        <f aca="false">IF(M$6=01_Annahmen!$C$14,M10*(1+01_Annahmen!$L$32)/(01_Annahmen!$M$32+01_Annahmen!$C$13),0)</f>
        <v>0</v>
      </c>
      <c r="N22" s="29" t="n">
        <f aca="false">IF(N$6=01_Annahmen!$C$14,N10*(1+01_Annahmen!$L$32)/(01_Annahmen!$M$32+01_Annahmen!$C$13),0)</f>
        <v>0</v>
      </c>
      <c r="O22" s="29" t="n">
        <f aca="false">IF(O$6=01_Annahmen!$C$14,O10*(1+01_Annahmen!$L$32)/(01_Annahmen!$M$32+01_Annahmen!$C$13),0)</f>
        <v>0</v>
      </c>
      <c r="P22" s="29" t="n">
        <f aca="false">IF(P$6=01_Annahmen!$C$14,P10*(1+01_Annahmen!$L$32)/(01_Annahmen!$M$32+01_Annahmen!$C$13),0)</f>
        <v>0</v>
      </c>
      <c r="Q22" s="29" t="n">
        <f aca="false">IF(Q$6=01_Annahmen!$C$14,Q10*(1+01_Annahmen!$L$32)/(01_Annahmen!$M$32+01_Annahmen!$C$13),0)</f>
        <v>0</v>
      </c>
      <c r="R22" s="29" t="n">
        <f aca="false">IF(R$6=01_Annahmen!$C$14,R10*(1+01_Annahmen!$L$32)/(01_Annahmen!$M$32+01_Annahmen!$C$13),0)</f>
        <v>0</v>
      </c>
      <c r="S22" s="29" t="n">
        <f aca="false">IF(S$6=01_Annahmen!$C$14,S10*(1+01_Annahmen!$L$32)/(01_Annahmen!$M$32+01_Annahmen!$C$13),0)</f>
        <v>39132464.5873271</v>
      </c>
      <c r="T22" s="29" t="n">
        <f aca="false">S10*(1+01_Annahmen!$L$32)</f>
        <v>2080281.81746231</v>
      </c>
      <c r="U22" s="20" t="n">
        <f aca="false">01_Annahmen!$M$32</f>
        <v>0.05166</v>
      </c>
    </row>
    <row r="23" customFormat="false" ht="15" hidden="false" customHeight="false" outlineLevel="0" collapsed="false">
      <c r="B23" s="7" t="s">
        <v>29</v>
      </c>
      <c r="C23" s="7" t="s">
        <v>109</v>
      </c>
      <c r="D23" s="29" t="n">
        <f aca="false">SUM(E23:S23)</f>
        <v>62535175.2721775</v>
      </c>
      <c r="E23" s="29" t="n">
        <f aca="false">IF(E$6=01_Annahmen!$C$14,E11*(1+01_Annahmen!$L$33)/(01_Annahmen!$M$33+01_Annahmen!$C$13),0)</f>
        <v>0</v>
      </c>
      <c r="F23" s="29" t="n">
        <f aca="false">IF(F$6=01_Annahmen!$C$14,F11*(1+01_Annahmen!$L$33)/(01_Annahmen!$M$33+01_Annahmen!$C$13),0)</f>
        <v>0</v>
      </c>
      <c r="G23" s="29" t="n">
        <f aca="false">IF(G$6=01_Annahmen!$C$14,G11*(1+01_Annahmen!$L$33)/(01_Annahmen!$M$33+01_Annahmen!$C$13),0)</f>
        <v>0</v>
      </c>
      <c r="H23" s="29" t="n">
        <f aca="false">IF(H$6=01_Annahmen!$C$14,H11*(1+01_Annahmen!$L$33)/(01_Annahmen!$M$33+01_Annahmen!$C$13),0)</f>
        <v>0</v>
      </c>
      <c r="I23" s="29" t="n">
        <f aca="false">IF(I$6=01_Annahmen!$C$14,I11*(1+01_Annahmen!$L$33)/(01_Annahmen!$M$33+01_Annahmen!$C$13),0)</f>
        <v>0</v>
      </c>
      <c r="J23" s="29" t="n">
        <f aca="false">IF(J$6=01_Annahmen!$C$14,J11*(1+01_Annahmen!$L$33)/(01_Annahmen!$M$33+01_Annahmen!$C$13),0)</f>
        <v>0</v>
      </c>
      <c r="K23" s="29" t="n">
        <f aca="false">IF(K$6=01_Annahmen!$C$14,K11*(1+01_Annahmen!$L$33)/(01_Annahmen!$M$33+01_Annahmen!$C$13),0)</f>
        <v>0</v>
      </c>
      <c r="L23" s="29" t="n">
        <f aca="false">IF(L$6=01_Annahmen!$C$14,L11*(1+01_Annahmen!$L$33)/(01_Annahmen!$M$33+01_Annahmen!$C$13),0)</f>
        <v>0</v>
      </c>
      <c r="M23" s="29" t="n">
        <f aca="false">IF(M$6=01_Annahmen!$C$14,M11*(1+01_Annahmen!$L$33)/(01_Annahmen!$M$33+01_Annahmen!$C$13),0)</f>
        <v>0</v>
      </c>
      <c r="N23" s="29" t="n">
        <f aca="false">IF(N$6=01_Annahmen!$C$14,N11*(1+01_Annahmen!$L$33)/(01_Annahmen!$M$33+01_Annahmen!$C$13),0)</f>
        <v>0</v>
      </c>
      <c r="O23" s="29" t="n">
        <f aca="false">IF(O$6=01_Annahmen!$C$14,O11*(1+01_Annahmen!$L$33)/(01_Annahmen!$M$33+01_Annahmen!$C$13),0)</f>
        <v>0</v>
      </c>
      <c r="P23" s="29" t="n">
        <f aca="false">IF(P$6=01_Annahmen!$C$14,P11*(1+01_Annahmen!$L$33)/(01_Annahmen!$M$33+01_Annahmen!$C$13),0)</f>
        <v>0</v>
      </c>
      <c r="Q23" s="29" t="n">
        <f aca="false">IF(Q$6=01_Annahmen!$C$14,Q11*(1+01_Annahmen!$L$33)/(01_Annahmen!$M$33+01_Annahmen!$C$13),0)</f>
        <v>0</v>
      </c>
      <c r="R23" s="29" t="n">
        <f aca="false">IF(R$6=01_Annahmen!$C$14,R11*(1+01_Annahmen!$L$33)/(01_Annahmen!$M$33+01_Annahmen!$C$13),0)</f>
        <v>0</v>
      </c>
      <c r="S23" s="29" t="n">
        <f aca="false">IF(S$6=01_Annahmen!$C$14,S11*(1+01_Annahmen!$L$33)/(01_Annahmen!$M$33+01_Annahmen!$C$13),0)</f>
        <v>62535175.2721775</v>
      </c>
      <c r="T23" s="29" t="n">
        <f aca="false">S11*(1+01_Annahmen!$L$33)</f>
        <v>2255643.77206744</v>
      </c>
      <c r="U23" s="20" t="n">
        <f aca="false">01_Annahmen!$M$33</f>
        <v>0.03457</v>
      </c>
    </row>
    <row r="24" customFormat="false" ht="15" hidden="false" customHeight="false" outlineLevel="0" collapsed="false">
      <c r="B24" s="5" t="s">
        <v>167</v>
      </c>
      <c r="D24" s="34" t="n">
        <f aca="false">SUM(D20:D23)</f>
        <v>171720520.581037</v>
      </c>
      <c r="E24" s="34" t="n">
        <f aca="false">SUM(E20:E23)</f>
        <v>0</v>
      </c>
      <c r="F24" s="34" t="n">
        <f aca="false">SUM(F20:F23)</f>
        <v>0</v>
      </c>
      <c r="G24" s="34" t="n">
        <f aca="false">SUM(G20:G23)</f>
        <v>0</v>
      </c>
      <c r="H24" s="34" t="n">
        <f aca="false">SUM(H20:H23)</f>
        <v>0</v>
      </c>
      <c r="I24" s="34" t="n">
        <f aca="false">SUM(I20:I23)</f>
        <v>0</v>
      </c>
      <c r="J24" s="34" t="n">
        <f aca="false">SUM(J20:J23)</f>
        <v>0</v>
      </c>
      <c r="K24" s="34" t="n">
        <f aca="false">SUM(K20:K23)</f>
        <v>0</v>
      </c>
      <c r="L24" s="34" t="n">
        <f aca="false">SUM(L20:L23)</f>
        <v>0</v>
      </c>
      <c r="M24" s="34" t="n">
        <f aca="false">SUM(M20:M23)</f>
        <v>0</v>
      </c>
      <c r="N24" s="34" t="n">
        <f aca="false">SUM(N20:N23)</f>
        <v>0</v>
      </c>
      <c r="O24" s="34" t="n">
        <f aca="false">SUM(O20:O23)</f>
        <v>0</v>
      </c>
      <c r="P24" s="34" t="n">
        <f aca="false">SUM(P20:P23)</f>
        <v>0</v>
      </c>
      <c r="Q24" s="34" t="n">
        <f aca="false">SUM(Q20:Q23)</f>
        <v>0</v>
      </c>
      <c r="R24" s="34" t="n">
        <f aca="false">SUM(R20:R23)</f>
        <v>0</v>
      </c>
      <c r="S24" s="34" t="n">
        <f aca="false">SUM(S20:S23)</f>
        <v>171720520.581037</v>
      </c>
    </row>
    <row r="25" customFormat="false" ht="15" hidden="false" customHeight="false" outlineLevel="0" collapsed="false">
      <c r="B25" s="31" t="s">
        <v>168</v>
      </c>
      <c r="C25" s="31"/>
      <c r="D25" s="32" t="n">
        <f aca="false">D12+D17+D18+D19+D24</f>
        <v>76456195.0906601</v>
      </c>
      <c r="E25" s="32" t="n">
        <f aca="false">E12+E17+E18+E19+E24</f>
        <v>-47363959</v>
      </c>
      <c r="F25" s="32" t="n">
        <f aca="false">F12+F17+F18+F19+F24</f>
        <v>-6375000</v>
      </c>
      <c r="G25" s="32" t="n">
        <f aca="false">G12+G17+G18+G19+G24</f>
        <v>-36242361.5</v>
      </c>
      <c r="H25" s="32" t="n">
        <f aca="false">H12+H17+H18+H19+H24</f>
        <v>-29754034.18</v>
      </c>
      <c r="I25" s="32" t="n">
        <f aca="false">I12+I17+I18+I19+I24</f>
        <v>-21001264.831031</v>
      </c>
      <c r="J25" s="32" t="n">
        <f aca="false">J12+J17+J18+J19+J24</f>
        <v>-15985497.2962854</v>
      </c>
      <c r="K25" s="32" t="n">
        <f aca="false">K12+K17+K18+K19+K24</f>
        <v>5916948.47628672</v>
      </c>
      <c r="L25" s="32" t="n">
        <f aca="false">L12+L17+L18+L19+L24</f>
        <v>6373804.67270751</v>
      </c>
      <c r="M25" s="32" t="n">
        <f aca="false">M12+M17+M18+M19+M24</f>
        <v>6839222.85370565</v>
      </c>
      <c r="N25" s="32" t="n">
        <f aca="false">N12+N17+N18+N19+N24</f>
        <v>6899851.96774077</v>
      </c>
      <c r="O25" s="32" t="n">
        <f aca="false">O12+O17+O18+O19+O24</f>
        <v>6961026.55635325</v>
      </c>
      <c r="P25" s="32" t="n">
        <f aca="false">P12+P17+P18+P19+P24</f>
        <v>7022751.59718446</v>
      </c>
      <c r="Q25" s="32" t="n">
        <f aca="false">Q12+Q17+Q18+Q19+Q24</f>
        <v>7085032.11390404</v>
      </c>
      <c r="R25" s="32" t="n">
        <f aca="false">R12+R17+R18+R19+R24</f>
        <v>7147873.17664065</v>
      </c>
      <c r="S25" s="32" t="n">
        <f aca="false">S12+S17+S18+S19+S24</f>
        <v>178931800.483453</v>
      </c>
    </row>
    <row r="26" customFormat="false" ht="15" hidden="false" customHeight="false" outlineLevel="0" collapsed="false">
      <c r="B26" s="7" t="s">
        <v>169</v>
      </c>
      <c r="E26" s="39" t="n">
        <f aca="false">1/(1+01_Annahmen!$C$12)^(E$6-2026)</f>
        <v>1</v>
      </c>
      <c r="F26" s="39" t="n">
        <f aca="false">1/(1+01_Annahmen!$C$12)^(F$6-2026)</f>
        <v>0.943675750663277</v>
      </c>
      <c r="G26" s="39" t="n">
        <f aca="false">1/(1+01_Annahmen!$C$12)^(G$6-2026)</f>
        <v>0.8905239223899</v>
      </c>
      <c r="H26" s="39" t="n">
        <f aca="false">1/(1+01_Annahmen!$C$12)^(H$6-2026)</f>
        <v>0.840365830944895</v>
      </c>
      <c r="I26" s="39" t="n">
        <f aca="false">1/(1+01_Annahmen!$C$12)^(I$6-2026)</f>
        <v>0.793032856348692</v>
      </c>
      <c r="J26" s="39" t="n">
        <f aca="false">1/(1+01_Annahmen!$C$12)^(J$6-2026)</f>
        <v>0.748365876015495</v>
      </c>
      <c r="K26" s="39" t="n">
        <f aca="false">1/(1+01_Annahmen!$C$12)^(K$6-2026)</f>
        <v>0.706214729819703</v>
      </c>
      <c r="L26" s="39" t="n">
        <f aca="false">1/(1+01_Annahmen!$C$12)^(L$6-2026)</f>
        <v>0.666437715292072</v>
      </c>
      <c r="M26" s="39" t="n">
        <f aca="false">1/(1+01_Annahmen!$C$12)^(M$6-2026)</f>
        <v>0.628901111248565</v>
      </c>
      <c r="N26" s="39" t="n">
        <f aca="false">1/(1+01_Annahmen!$C$12)^(N$6-2026)</f>
        <v>0.593478728250459</v>
      </c>
      <c r="O26" s="39" t="n">
        <f aca="false">1/(1+01_Annahmen!$C$12)^(O$6-2026)</f>
        <v>0.560051484384439</v>
      </c>
      <c r="P26" s="39" t="n">
        <f aca="false">1/(1+01_Annahmen!$C$12)^(P$6-2026)</f>
        <v>0.528507004936568</v>
      </c>
      <c r="Q26" s="39" t="n">
        <f aca="false">1/(1+01_Annahmen!$C$12)^(Q$6-2026)</f>
        <v>0.498739244614316</v>
      </c>
      <c r="R26" s="39" t="n">
        <f aca="false">1/(1+01_Annahmen!$C$12)^(R$6-2026)</f>
        <v>0.470648131046651</v>
      </c>
      <c r="S26" s="39" t="n">
        <f aca="false">1/(1+01_Annahmen!$C$12)^(S$6-2026)</f>
        <v>0.444139228363717</v>
      </c>
    </row>
    <row r="27" customFormat="false" ht="15" hidden="false" customHeight="false" outlineLevel="0" collapsed="false">
      <c r="B27" s="7" t="s">
        <v>170</v>
      </c>
      <c r="D27" s="34" t="n">
        <f aca="false">SUM(E27:S27)</f>
        <v>-28475603.8129778</v>
      </c>
      <c r="E27" s="29" t="n">
        <f aca="false">E25*E26</f>
        <v>-47363959</v>
      </c>
      <c r="F27" s="29" t="n">
        <f aca="false">F25*F26</f>
        <v>-6015932.91047839</v>
      </c>
      <c r="G27" s="29" t="n">
        <f aca="false">G25*G26</f>
        <v>-32274689.9196527</v>
      </c>
      <c r="H27" s="29" t="n">
        <f aca="false">H25*H26</f>
        <v>-25004273.6576385</v>
      </c>
      <c r="I27" s="29" t="n">
        <f aca="false">I25*I26</f>
        <v>-16654693.0358878</v>
      </c>
      <c r="J27" s="29" t="n">
        <f aca="false">J25*J26</f>
        <v>-11963000.6876779</v>
      </c>
      <c r="K27" s="29" t="n">
        <f aca="false">K25*K26</f>
        <v>4178636.16953793</v>
      </c>
      <c r="L27" s="29" t="n">
        <f aca="false">L25*L26</f>
        <v>4247743.82379713</v>
      </c>
      <c r="M27" s="29" t="n">
        <f aca="false">M25*M26</f>
        <v>4301194.85277207</v>
      </c>
      <c r="N27" s="29" t="n">
        <f aca="false">N25*N26</f>
        <v>4094915.37093122</v>
      </c>
      <c r="O27" s="29" t="n">
        <f aca="false">O25*O26</f>
        <v>3898533.25572514</v>
      </c>
      <c r="P27" s="29" t="n">
        <f aca="false">P25*P26</f>
        <v>3711573.41304146</v>
      </c>
      <c r="Q27" s="29" t="n">
        <f aca="false">Q25*Q26</f>
        <v>3533583.56455667</v>
      </c>
      <c r="R27" s="29" t="n">
        <f aca="false">R25*R26</f>
        <v>3364133.15154441</v>
      </c>
      <c r="S27" s="29" t="n">
        <f aca="false">S25*S26</f>
        <v>79470631.7964515</v>
      </c>
    </row>
    <row r="28" customFormat="false" ht="15" hidden="false" customHeight="false" outlineLevel="0" collapsed="false">
      <c r="B28" s="7" t="s">
        <v>171</v>
      </c>
      <c r="E28" s="29" t="n">
        <f aca="false">E25-E24</f>
        <v>-47363959</v>
      </c>
      <c r="F28" s="29" t="n">
        <f aca="false">F25-F24+E28</f>
        <v>-53738959</v>
      </c>
      <c r="G28" s="29" t="n">
        <f aca="false">G25-G24+F28</f>
        <v>-89981320.5</v>
      </c>
      <c r="H28" s="29" t="n">
        <f aca="false">H25-H24+G28</f>
        <v>-119735354.68</v>
      </c>
      <c r="I28" s="29" t="n">
        <f aca="false">I25-I24+H28</f>
        <v>-140736619.511031</v>
      </c>
      <c r="J28" s="29" t="n">
        <f aca="false">J25-J24+I28</f>
        <v>-156722116.807316</v>
      </c>
      <c r="K28" s="29" t="n">
        <f aca="false">K25-K24+J28</f>
        <v>-150805168.33103</v>
      </c>
      <c r="L28" s="29" t="n">
        <f aca="false">L25-L24+K28</f>
        <v>-144431363.658322</v>
      </c>
      <c r="M28" s="29" t="n">
        <f aca="false">M25-M24+L28</f>
        <v>-137592140.804617</v>
      </c>
      <c r="N28" s="29" t="n">
        <f aca="false">N25-N24+M28</f>
        <v>-130692288.836876</v>
      </c>
      <c r="O28" s="29" t="n">
        <f aca="false">O25-O24+N28</f>
        <v>-123731262.280523</v>
      </c>
      <c r="P28" s="29" t="n">
        <f aca="false">P25-P24+O28</f>
        <v>-116708510.683338</v>
      </c>
      <c r="Q28" s="29" t="n">
        <f aca="false">Q25-Q24+P28</f>
        <v>-109623478.569434</v>
      </c>
      <c r="R28" s="29" t="n">
        <f aca="false">R25-R24+Q28</f>
        <v>-102475605.392793</v>
      </c>
      <c r="S28" s="29" t="n">
        <f aca="false">S25-S24+R28</f>
        <v>-95264325.4903765</v>
      </c>
    </row>
    <row r="30" customFormat="false" ht="15" hidden="false" customHeight="false" outlineLevel="0" collapsed="false">
      <c r="B30" s="16" t="s">
        <v>172</v>
      </c>
    </row>
    <row r="31" customFormat="false" ht="15" hidden="false" customHeight="false" outlineLevel="0" collapsed="false">
      <c r="B31" s="7" t="s">
        <v>173</v>
      </c>
      <c r="D31" s="29" t="n">
        <f aca="false">SUM(E31:S31)</f>
        <v>117670859</v>
      </c>
      <c r="E31" s="29" t="n">
        <f aca="false">-E18</f>
        <v>1262500</v>
      </c>
      <c r="F31" s="29" t="n">
        <f aca="false">-F18</f>
        <v>6375000</v>
      </c>
      <c r="G31" s="29" t="n">
        <f aca="false">-G18</f>
        <v>36242361.5</v>
      </c>
      <c r="H31" s="29" t="n">
        <f aca="false">-H18</f>
        <v>30381791.7</v>
      </c>
      <c r="I31" s="29" t="n">
        <f aca="false">-I18</f>
        <v>23667789.3</v>
      </c>
      <c r="J31" s="29" t="n">
        <f aca="false">-J18</f>
        <v>19741416.5</v>
      </c>
      <c r="K31" s="29" t="n">
        <f aca="false">-K18</f>
        <v>0</v>
      </c>
      <c r="L31" s="29" t="n">
        <f aca="false">-L18</f>
        <v>0</v>
      </c>
      <c r="M31" s="29" t="n">
        <f aca="false">-M18</f>
        <v>0</v>
      </c>
      <c r="N31" s="29" t="n">
        <f aca="false">-N18</f>
        <v>0</v>
      </c>
      <c r="O31" s="29" t="n">
        <f aca="false">-O18</f>
        <v>0</v>
      </c>
      <c r="P31" s="29" t="n">
        <f aca="false">-P18</f>
        <v>0</v>
      </c>
      <c r="Q31" s="29" t="n">
        <f aca="false">-Q18</f>
        <v>0</v>
      </c>
      <c r="R31" s="29" t="n">
        <f aca="false">-R18</f>
        <v>0</v>
      </c>
      <c r="S31" s="29" t="n">
        <f aca="false">-S18</f>
        <v>0</v>
      </c>
    </row>
    <row r="32" customFormat="false" ht="15" hidden="false" customHeight="false" outlineLevel="0" collapsed="false">
      <c r="B32" s="7" t="s">
        <v>174</v>
      </c>
      <c r="D32" s="34" t="n">
        <f aca="false">MAX(0,01_Annahmen!$C$19*02_Investitionen!$D$18-01_Annahmen!$C$25)</f>
        <v>11218852.3</v>
      </c>
    </row>
    <row r="33" customFormat="false" ht="15" hidden="false" customHeight="false" outlineLevel="0" collapsed="false">
      <c r="B33" s="7" t="s">
        <v>175</v>
      </c>
      <c r="D33" s="29" t="n">
        <f aca="false">SUM(E33:S33)</f>
        <v>11218852.3</v>
      </c>
      <c r="E33" s="29" t="n">
        <f aca="false">MIN(E31,$D$32-0)</f>
        <v>1262500</v>
      </c>
      <c r="F33" s="29" t="n">
        <f aca="false">MIN(F31,$D$32-SUM($E33:E33))</f>
        <v>6375000</v>
      </c>
      <c r="G33" s="29" t="n">
        <f aca="false">MIN(G31,$D$32-SUM($E33:F33))</f>
        <v>3581352.3</v>
      </c>
      <c r="H33" s="29" t="n">
        <f aca="false">MIN(H31,$D$32-SUM($E33:G33))</f>
        <v>0</v>
      </c>
      <c r="I33" s="29" t="n">
        <f aca="false">MIN(I31,$D$32-SUM($E33:H33))</f>
        <v>0</v>
      </c>
      <c r="J33" s="29" t="n">
        <f aca="false">MIN(J31,$D$32-SUM($E33:I33))</f>
        <v>0</v>
      </c>
      <c r="K33" s="29" t="n">
        <f aca="false">MIN(K31,$D$32-SUM($E33:J33))</f>
        <v>0</v>
      </c>
      <c r="L33" s="29" t="n">
        <f aca="false">MIN(L31,$D$32-SUM($E33:K33))</f>
        <v>0</v>
      </c>
      <c r="M33" s="29" t="n">
        <f aca="false">MIN(M31,$D$32-SUM($E33:L33))</f>
        <v>0</v>
      </c>
      <c r="N33" s="29" t="n">
        <f aca="false">MIN(N31,$D$32-SUM($E33:M33))</f>
        <v>0</v>
      </c>
      <c r="O33" s="29" t="n">
        <f aca="false">MIN(O31,$D$32-SUM($E33:N33))</f>
        <v>0</v>
      </c>
      <c r="P33" s="29" t="n">
        <f aca="false">MIN(P31,$D$32-SUM($E33:O33))</f>
        <v>0</v>
      </c>
      <c r="Q33" s="29" t="n">
        <f aca="false">MIN(Q31,$D$32-SUM($E33:P33))</f>
        <v>0</v>
      </c>
      <c r="R33" s="29" t="n">
        <f aca="false">MIN(R31,$D$32-SUM($E33:Q33))</f>
        <v>0</v>
      </c>
      <c r="S33" s="29" t="n">
        <f aca="false">MIN(S31,$D$32-SUM($E33:R33))</f>
        <v>0</v>
      </c>
    </row>
    <row r="34" customFormat="false" ht="15" hidden="false" customHeight="false" outlineLevel="0" collapsed="false">
      <c r="B34" s="7" t="s">
        <v>176</v>
      </c>
      <c r="D34" s="29" t="n">
        <f aca="false">SUM(E34:S34)</f>
        <v>106452006.7</v>
      </c>
      <c r="E34" s="29" t="n">
        <f aca="false">E31-E33</f>
        <v>0</v>
      </c>
      <c r="F34" s="29" t="n">
        <f aca="false">F31-F33</f>
        <v>0</v>
      </c>
      <c r="G34" s="29" t="n">
        <f aca="false">G31-G33</f>
        <v>32661009.2</v>
      </c>
      <c r="H34" s="29" t="n">
        <f aca="false">H31-H33</f>
        <v>30381791.7</v>
      </c>
      <c r="I34" s="29" t="n">
        <f aca="false">I31-I33</f>
        <v>23667789.3</v>
      </c>
      <c r="J34" s="29" t="n">
        <f aca="false">J31-J33</f>
        <v>19741416.5</v>
      </c>
      <c r="K34" s="29" t="n">
        <f aca="false">K31-K33</f>
        <v>0</v>
      </c>
      <c r="L34" s="29" t="n">
        <f aca="false">L31-L33</f>
        <v>0</v>
      </c>
      <c r="M34" s="29" t="n">
        <f aca="false">M31-M33</f>
        <v>0</v>
      </c>
      <c r="N34" s="29" t="n">
        <f aca="false">N31-N33</f>
        <v>0</v>
      </c>
      <c r="O34" s="29" t="n">
        <f aca="false">O31-O33</f>
        <v>0</v>
      </c>
      <c r="P34" s="29" t="n">
        <f aca="false">P31-P33</f>
        <v>0</v>
      </c>
      <c r="Q34" s="29" t="n">
        <f aca="false">Q31-Q33</f>
        <v>0</v>
      </c>
      <c r="R34" s="29" t="n">
        <f aca="false">R31-R33</f>
        <v>0</v>
      </c>
      <c r="S34" s="29" t="n">
        <f aca="false">S31-S33</f>
        <v>0</v>
      </c>
    </row>
    <row r="35" customFormat="false" ht="15" hidden="false" customHeight="false" outlineLevel="0" collapsed="false">
      <c r="B35" s="7" t="s">
        <v>177</v>
      </c>
      <c r="D35" s="29" t="n">
        <f aca="false">SUM(E35:S35)</f>
        <v>26408306.2535345</v>
      </c>
      <c r="E35" s="29" t="n">
        <f aca="false">01_Annahmen!$C$20*(0+E34/2)</f>
        <v>0</v>
      </c>
      <c r="F35" s="29" t="n">
        <f aca="false">01_Annahmen!$C$20*(E39+F34/2)</f>
        <v>0</v>
      </c>
      <c r="G35" s="29" t="n">
        <f aca="false">01_Annahmen!$C$20*(F39+G34/2)</f>
        <v>367436.3535</v>
      </c>
      <c r="H35" s="29" t="n">
        <f aca="false">01_Annahmen!$C$20*(G39+H34/2)</f>
        <v>1084935.18157875</v>
      </c>
      <c r="I35" s="29" t="n">
        <f aca="false">01_Annahmen!$C$20*(H39+I34/2)</f>
        <v>1703279.46521427</v>
      </c>
      <c r="J35" s="29" t="n">
        <f aca="false">01_Annahmen!$C$20*(I39+J34/2)</f>
        <v>2191633.03046427</v>
      </c>
      <c r="K35" s="29" t="n">
        <f aca="false">01_Annahmen!$C$20*(J39+K34/2)</f>
        <v>2413723.96608927</v>
      </c>
      <c r="L35" s="29" t="n">
        <f aca="false">01_Annahmen!$C$20*(K39+L34/2)</f>
        <v>2413723.96608927</v>
      </c>
      <c r="M35" s="29" t="n">
        <f aca="false">01_Annahmen!$C$20*(L39+M34/2)</f>
        <v>2389586.72642838</v>
      </c>
      <c r="N35" s="29" t="n">
        <f aca="false">01_Annahmen!$C$20*(M39+N34/2)</f>
        <v>2365690.8591641</v>
      </c>
      <c r="O35" s="29" t="n">
        <f aca="false">01_Annahmen!$C$20*(N39+O34/2)</f>
        <v>2342033.95057246</v>
      </c>
      <c r="P35" s="29" t="n">
        <f aca="false">01_Annahmen!$C$20*(O39+P34/2)</f>
        <v>2318613.61106673</v>
      </c>
      <c r="Q35" s="29" t="n">
        <f aca="false">01_Annahmen!$C$20*(P39+Q34/2)</f>
        <v>2295427.47495606</v>
      </c>
      <c r="R35" s="29" t="n">
        <f aca="false">01_Annahmen!$C$20*(Q39+R34/2)</f>
        <v>2272473.2002065</v>
      </c>
      <c r="S35" s="29" t="n">
        <f aca="false">01_Annahmen!$C$20*(R39+S34/2)</f>
        <v>2249748.46820444</v>
      </c>
    </row>
    <row r="36" customFormat="false" ht="15" hidden="false" customHeight="false" outlineLevel="0" collapsed="false">
      <c r="B36" s="7" t="s">
        <v>178</v>
      </c>
      <c r="D36" s="29" t="n">
        <f aca="false">SUM(E36:S36)</f>
        <v>8287688.11408353</v>
      </c>
      <c r="E36" s="29" t="n">
        <f aca="false">IF(E$6&gt;=01_Annahmen!$C$23,MIN(01_Annahmen!$C$22*0,0),0)</f>
        <v>0</v>
      </c>
      <c r="F36" s="29" t="n">
        <f aca="false">IF(F$6&gt;=01_Annahmen!$C$23,MIN(01_Annahmen!$C$22*E39,E39),0)</f>
        <v>0</v>
      </c>
      <c r="G36" s="29" t="n">
        <f aca="false">IF(G$6&gt;=01_Annahmen!$C$23,MIN(01_Annahmen!$C$22*F39,F39),0)</f>
        <v>0</v>
      </c>
      <c r="H36" s="29" t="n">
        <f aca="false">IF(H$6&gt;=01_Annahmen!$C$23,MIN(01_Annahmen!$C$22*G39,G39),0)</f>
        <v>0</v>
      </c>
      <c r="I36" s="29" t="n">
        <f aca="false">IF(I$6&gt;=01_Annahmen!$C$23,MIN(01_Annahmen!$C$22*H39,H39),0)</f>
        <v>0</v>
      </c>
      <c r="J36" s="29" t="n">
        <f aca="false">IF(J$6&gt;=01_Annahmen!$C$23,MIN(01_Annahmen!$C$22*I39,I39),0)</f>
        <v>0</v>
      </c>
      <c r="K36" s="29" t="n">
        <f aca="false">IF(K$6&gt;=01_Annahmen!$C$23,MIN(01_Annahmen!$C$22*J39,J39),0)</f>
        <v>0</v>
      </c>
      <c r="L36" s="29" t="n">
        <f aca="false">IF(L$6&gt;=01_Annahmen!$C$23,MIN(01_Annahmen!$C$22*K39,K39),0)</f>
        <v>1072766.20715079</v>
      </c>
      <c r="M36" s="29" t="n">
        <f aca="false">IF(M$6&gt;=01_Annahmen!$C$23,MIN(01_Annahmen!$C$22*L39,L39),0)</f>
        <v>1062038.54507928</v>
      </c>
      <c r="N36" s="29" t="n">
        <f aca="false">IF(N$6&gt;=01_Annahmen!$C$23,MIN(01_Annahmen!$C$22*M39,M39),0)</f>
        <v>1051418.15962849</v>
      </c>
      <c r="O36" s="29" t="n">
        <f aca="false">IF(O$6&gt;=01_Annahmen!$C$23,MIN(01_Annahmen!$C$22*N39,N39),0)</f>
        <v>1040903.9780322</v>
      </c>
      <c r="P36" s="29" t="n">
        <f aca="false">IF(P$6&gt;=01_Annahmen!$C$23,MIN(01_Annahmen!$C$22*O39,O39),0)</f>
        <v>1030494.93825188</v>
      </c>
      <c r="Q36" s="29" t="n">
        <f aca="false">IF(Q$6&gt;=01_Annahmen!$C$23,MIN(01_Annahmen!$C$22*P39,P39),0)</f>
        <v>1020189.98886936</v>
      </c>
      <c r="R36" s="29" t="n">
        <f aca="false">IF(R$6&gt;=01_Annahmen!$C$23,MIN(01_Annahmen!$C$22*Q39,Q39),0)</f>
        <v>1009988.08898067</v>
      </c>
      <c r="S36" s="29" t="n">
        <f aca="false">IF(S$6&gt;=01_Annahmen!$C$23,MIN(01_Annahmen!$C$22*R39,R39),0)</f>
        <v>999888.208090861</v>
      </c>
    </row>
    <row r="37" customFormat="false" ht="15" hidden="false" customHeight="false" outlineLevel="0" collapsed="false">
      <c r="B37" s="7" t="s">
        <v>179</v>
      </c>
      <c r="D37" s="29" t="n">
        <f aca="false">SUM(E37:S37)</f>
        <v>0</v>
      </c>
      <c r="E37" s="29" t="n">
        <f aca="false">MIN(0+E34-E36,E17)</f>
        <v>0</v>
      </c>
      <c r="F37" s="29" t="n">
        <f aca="false">MIN(E39+F34-F36,F17)</f>
        <v>0</v>
      </c>
      <c r="G37" s="29" t="n">
        <f aca="false">MIN(F39+G34-G36,G17)</f>
        <v>0</v>
      </c>
      <c r="H37" s="29" t="n">
        <f aca="false">MIN(G39+H34-H36,H17)</f>
        <v>0</v>
      </c>
      <c r="I37" s="29" t="n">
        <f aca="false">MIN(H39+I34-I36,I17)</f>
        <v>0</v>
      </c>
      <c r="J37" s="29" t="n">
        <f aca="false">MIN(I39+J34-J36,J17)</f>
        <v>0</v>
      </c>
      <c r="K37" s="29" t="n">
        <f aca="false">MIN(J39+K34-K36,K17)</f>
        <v>0</v>
      </c>
      <c r="L37" s="29" t="n">
        <f aca="false">MIN(K39+L34-L36,L17)</f>
        <v>0</v>
      </c>
      <c r="M37" s="29" t="n">
        <f aca="false">MIN(L39+M34-M36,M17)</f>
        <v>0</v>
      </c>
      <c r="N37" s="29" t="n">
        <f aca="false">MIN(M39+N34-N36,N17)</f>
        <v>0</v>
      </c>
      <c r="O37" s="29" t="n">
        <f aca="false">MIN(N39+O34-O36,O17)</f>
        <v>0</v>
      </c>
      <c r="P37" s="29" t="n">
        <f aca="false">MIN(O39+P34-P36,P17)</f>
        <v>0</v>
      </c>
      <c r="Q37" s="29" t="n">
        <f aca="false">MIN(P39+Q34-Q36,Q17)</f>
        <v>0</v>
      </c>
      <c r="R37" s="29" t="n">
        <f aca="false">MIN(Q39+R34-R36,R17)</f>
        <v>0</v>
      </c>
      <c r="S37" s="29" t="n">
        <f aca="false">MIN(R39+S34-S36,S17)</f>
        <v>0</v>
      </c>
    </row>
    <row r="38" customFormat="false" ht="15" hidden="false" customHeight="false" outlineLevel="0" collapsed="false">
      <c r="B38" s="7" t="s">
        <v>180</v>
      </c>
      <c r="D38" s="29" t="n">
        <f aca="false">SUM(E38:S38)</f>
        <v>824614.01507875</v>
      </c>
      <c r="E38" s="29" t="n">
        <f aca="false">MAX(0,E35+E36-E12)</f>
        <v>0</v>
      </c>
      <c r="F38" s="29" t="n">
        <f aca="false">MAX(0,F35+F36-F12)</f>
        <v>0</v>
      </c>
      <c r="G38" s="29" t="n">
        <f aca="false">MAX(0,G35+G36-G12)</f>
        <v>367436.3535</v>
      </c>
      <c r="H38" s="29" t="n">
        <f aca="false">MAX(0,H35+H36-H12)</f>
        <v>457177.66157875</v>
      </c>
      <c r="I38" s="29" t="n">
        <f aca="false">MAX(0,I35+I36-I12)</f>
        <v>0</v>
      </c>
      <c r="J38" s="29" t="n">
        <f aca="false">MAX(0,J35+J36-J12)</f>
        <v>0</v>
      </c>
      <c r="K38" s="29" t="n">
        <f aca="false">MAX(0,K35+K36-K12)</f>
        <v>0</v>
      </c>
      <c r="L38" s="29" t="n">
        <f aca="false">MAX(0,L35+L36-L12)</f>
        <v>0</v>
      </c>
      <c r="M38" s="29" t="n">
        <f aca="false">MAX(0,M35+M36-M12)</f>
        <v>0</v>
      </c>
      <c r="N38" s="29" t="n">
        <f aca="false">MAX(0,N35+N36-N12)</f>
        <v>0</v>
      </c>
      <c r="O38" s="29" t="n">
        <f aca="false">MAX(0,O35+O36-O12)</f>
        <v>0</v>
      </c>
      <c r="P38" s="29" t="n">
        <f aca="false">MAX(0,P35+P36-P12)</f>
        <v>0</v>
      </c>
      <c r="Q38" s="29" t="n">
        <f aca="false">MAX(0,Q35+Q36-Q12)</f>
        <v>0</v>
      </c>
      <c r="R38" s="29" t="n">
        <f aca="false">MAX(0,R35+R36-R12)</f>
        <v>0</v>
      </c>
      <c r="S38" s="29" t="n">
        <f aca="false">MAX(0,S35+S36-S12)</f>
        <v>0</v>
      </c>
    </row>
    <row r="39" customFormat="false" ht="15" hidden="false" customHeight="false" outlineLevel="0" collapsed="false">
      <c r="B39" s="31" t="s">
        <v>181</v>
      </c>
      <c r="C39" s="40" t="s">
        <v>182</v>
      </c>
      <c r="D39" s="32" t="n">
        <f aca="false">MAX(E39:S39)</f>
        <v>107276620.715079</v>
      </c>
      <c r="E39" s="32" t="n">
        <f aca="false">0+E34+E38-E36-E37</f>
        <v>0</v>
      </c>
      <c r="F39" s="32" t="n">
        <f aca="false">E39+F34+F38-F36-F37</f>
        <v>0</v>
      </c>
      <c r="G39" s="32" t="n">
        <f aca="false">F39+G34+G38-G36-G37</f>
        <v>33028445.5535</v>
      </c>
      <c r="H39" s="32" t="n">
        <f aca="false">G39+H34+H38-H36-H37</f>
        <v>63867414.9150788</v>
      </c>
      <c r="I39" s="32" t="n">
        <f aca="false">H39+I34+I38-I36-I37</f>
        <v>87535204.2150788</v>
      </c>
      <c r="J39" s="32" t="n">
        <f aca="false">I39+J34+J38-J36-J37</f>
        <v>107276620.715079</v>
      </c>
      <c r="K39" s="32" t="n">
        <f aca="false">J39+K34+K38-K36-K37</f>
        <v>107276620.715079</v>
      </c>
      <c r="L39" s="32" t="n">
        <f aca="false">K39+L34+L38-L36-L37</f>
        <v>106203854.507928</v>
      </c>
      <c r="M39" s="32" t="n">
        <f aca="false">L39+M34+M38-M36-M37</f>
        <v>105141815.962849</v>
      </c>
      <c r="N39" s="32" t="n">
        <f aca="false">M39+N34+N38-N36-N37</f>
        <v>104090397.80322</v>
      </c>
      <c r="O39" s="32" t="n">
        <f aca="false">N39+O34+O38-O36-O37</f>
        <v>103049493.825188</v>
      </c>
      <c r="P39" s="32" t="n">
        <f aca="false">O39+P34+P38-P36-P37</f>
        <v>102018998.886936</v>
      </c>
      <c r="Q39" s="32" t="n">
        <f aca="false">P39+Q34+Q38-Q36-Q37</f>
        <v>100998808.898067</v>
      </c>
      <c r="R39" s="32" t="n">
        <f aca="false">Q39+R34+R38-R36-R37</f>
        <v>99988820.8090861</v>
      </c>
      <c r="S39" s="32" t="n">
        <f aca="false">R39+S34+S38-S36-S37</f>
        <v>98988932.6009952</v>
      </c>
    </row>
    <row r="40" customFormat="false" ht="15" hidden="false" customHeight="false" outlineLevel="0" collapsed="false">
      <c r="B40" s="7" t="s">
        <v>183</v>
      </c>
      <c r="E40" s="29" t="n">
        <f aca="false">IF(E$6&gt;=01_Annahmen!$O$30,(1-$C$4*01_Annahmen!$P$30)*01_Annahmen!$N$30,0)+IF(E$6&gt;=01_Annahmen!$O$31,(1-$C$4*01_Annahmen!$P$31)*01_Annahmen!$N$31,0)+IF(E$6&gt;=01_Annahmen!$O$32,(1-$C$4*01_Annahmen!$P$32)*01_Annahmen!$N$32,0)+IF(E$6&gt;=01_Annahmen!$O$33,(1-$C$4*01_Annahmen!$P$33)*01_Annahmen!$N$33,0)</f>
        <v>0</v>
      </c>
      <c r="F40" s="29" t="n">
        <f aca="false">IF(F$6&gt;=01_Annahmen!$O$30,(1-$C$4*01_Annahmen!$P$30)*01_Annahmen!$N$30,0)+IF(F$6&gt;=01_Annahmen!$O$31,(1-$C$4*01_Annahmen!$P$31)*01_Annahmen!$N$31,0)+IF(F$6&gt;=01_Annahmen!$O$32,(1-$C$4*01_Annahmen!$P$32)*01_Annahmen!$N$32,0)+IF(F$6&gt;=01_Annahmen!$O$33,(1-$C$4*01_Annahmen!$P$33)*01_Annahmen!$N$33,0)</f>
        <v>0</v>
      </c>
      <c r="G40" s="29" t="n">
        <f aca="false">IF(G$6&gt;=01_Annahmen!$O$30,(1-$C$4*01_Annahmen!$P$30)*01_Annahmen!$N$30,0)+IF(G$6&gt;=01_Annahmen!$O$31,(1-$C$4*01_Annahmen!$P$31)*01_Annahmen!$N$31,0)+IF(G$6&gt;=01_Annahmen!$O$32,(1-$C$4*01_Annahmen!$P$32)*01_Annahmen!$N$32,0)+IF(G$6&gt;=01_Annahmen!$O$33,(1-$C$4*01_Annahmen!$P$33)*01_Annahmen!$N$33,0)</f>
        <v>0</v>
      </c>
      <c r="H40" s="29" t="n">
        <f aca="false">IF(H$6&gt;=01_Annahmen!$O$30,(1-$C$4*01_Annahmen!$P$30)*01_Annahmen!$N$30,0)+IF(H$6&gt;=01_Annahmen!$O$31,(1-$C$4*01_Annahmen!$P$31)*01_Annahmen!$N$31,0)+IF(H$6&gt;=01_Annahmen!$O$32,(1-$C$4*01_Annahmen!$P$32)*01_Annahmen!$N$32,0)+IF(H$6&gt;=01_Annahmen!$O$33,(1-$C$4*01_Annahmen!$P$33)*01_Annahmen!$N$33,0)</f>
        <v>29719823.4181608</v>
      </c>
      <c r="I40" s="29" t="n">
        <f aca="false">IF(I$6&gt;=01_Annahmen!$O$30,(1-$C$4*01_Annahmen!$P$30)*01_Annahmen!$N$30,0)+IF(I$6&gt;=01_Annahmen!$O$31,(1-$C$4*01_Annahmen!$P$31)*01_Annahmen!$N$31,0)+IF(I$6&gt;=01_Annahmen!$O$32,(1-$C$4*01_Annahmen!$P$32)*01_Annahmen!$N$32,0)+IF(I$6&gt;=01_Annahmen!$O$33,(1-$C$4*01_Annahmen!$P$33)*01_Annahmen!$N$33,0)</f>
        <v>102611323.370486</v>
      </c>
      <c r="J40" s="29" t="n">
        <f aca="false">IF(J$6&gt;=01_Annahmen!$O$30,(1-$C$4*01_Annahmen!$P$30)*01_Annahmen!$N$30,0)+IF(J$6&gt;=01_Annahmen!$O$31,(1-$C$4*01_Annahmen!$P$31)*01_Annahmen!$N$31,0)+IF(J$6&gt;=01_Annahmen!$O$32,(1-$C$4*01_Annahmen!$P$32)*01_Annahmen!$N$32,0)+IF(J$6&gt;=01_Annahmen!$O$33,(1-$C$4*01_Annahmen!$P$33)*01_Annahmen!$N$33,0)</f>
        <v>102611323.370486</v>
      </c>
      <c r="K40" s="29" t="n">
        <f aca="false">IF(K$6&gt;=01_Annahmen!$O$30,(1-$C$4*01_Annahmen!$P$30)*01_Annahmen!$N$30,0)+IF(K$6&gt;=01_Annahmen!$O$31,(1-$C$4*01_Annahmen!$P$31)*01_Annahmen!$N$31,0)+IF(K$6&gt;=01_Annahmen!$O$32,(1-$C$4*01_Annahmen!$P$32)*01_Annahmen!$N$32,0)+IF(K$6&gt;=01_Annahmen!$O$33,(1-$C$4*01_Annahmen!$P$33)*01_Annahmen!$N$33,0)</f>
        <v>162270708.100021</v>
      </c>
      <c r="L40" s="29" t="n">
        <f aca="false">IF(L$6&gt;=01_Annahmen!$O$30,(1-$C$4*01_Annahmen!$P$30)*01_Annahmen!$N$30,0)+IF(L$6&gt;=01_Annahmen!$O$31,(1-$C$4*01_Annahmen!$P$31)*01_Annahmen!$N$31,0)+IF(L$6&gt;=01_Annahmen!$O$32,(1-$C$4*01_Annahmen!$P$32)*01_Annahmen!$N$32,0)+IF(L$6&gt;=01_Annahmen!$O$33,(1-$C$4*01_Annahmen!$P$33)*01_Annahmen!$N$33,0)</f>
        <v>162270708.100021</v>
      </c>
      <c r="M40" s="29" t="n">
        <f aca="false">IF(M$6&gt;=01_Annahmen!$O$30,(1-$C$4*01_Annahmen!$P$30)*01_Annahmen!$N$30,0)+IF(M$6&gt;=01_Annahmen!$O$31,(1-$C$4*01_Annahmen!$P$31)*01_Annahmen!$N$31,0)+IF(M$6&gt;=01_Annahmen!$O$32,(1-$C$4*01_Annahmen!$P$32)*01_Annahmen!$N$32,0)+IF(M$6&gt;=01_Annahmen!$O$33,(1-$C$4*01_Annahmen!$P$33)*01_Annahmen!$N$33,0)</f>
        <v>162270708.100021</v>
      </c>
      <c r="N40" s="29" t="n">
        <f aca="false">IF(N$6&gt;=01_Annahmen!$O$30,(1-$C$4*01_Annahmen!$P$30)*01_Annahmen!$N$30,0)+IF(N$6&gt;=01_Annahmen!$O$31,(1-$C$4*01_Annahmen!$P$31)*01_Annahmen!$N$31,0)+IF(N$6&gt;=01_Annahmen!$O$32,(1-$C$4*01_Annahmen!$P$32)*01_Annahmen!$N$32,0)+IF(N$6&gt;=01_Annahmen!$O$33,(1-$C$4*01_Annahmen!$P$33)*01_Annahmen!$N$33,0)</f>
        <v>162270708.100021</v>
      </c>
      <c r="O40" s="29" t="n">
        <f aca="false">IF(O$6&gt;=01_Annahmen!$O$30,(1-$C$4*01_Annahmen!$P$30)*01_Annahmen!$N$30,0)+IF(O$6&gt;=01_Annahmen!$O$31,(1-$C$4*01_Annahmen!$P$31)*01_Annahmen!$N$31,0)+IF(O$6&gt;=01_Annahmen!$O$32,(1-$C$4*01_Annahmen!$P$32)*01_Annahmen!$N$32,0)+IF(O$6&gt;=01_Annahmen!$O$33,(1-$C$4*01_Annahmen!$P$33)*01_Annahmen!$N$33,0)</f>
        <v>162270708.100021</v>
      </c>
      <c r="P40" s="29" t="n">
        <f aca="false">IF(P$6&gt;=01_Annahmen!$O$30,(1-$C$4*01_Annahmen!$P$30)*01_Annahmen!$N$30,0)+IF(P$6&gt;=01_Annahmen!$O$31,(1-$C$4*01_Annahmen!$P$31)*01_Annahmen!$N$31,0)+IF(P$6&gt;=01_Annahmen!$O$32,(1-$C$4*01_Annahmen!$P$32)*01_Annahmen!$N$32,0)+IF(P$6&gt;=01_Annahmen!$O$33,(1-$C$4*01_Annahmen!$P$33)*01_Annahmen!$N$33,0)</f>
        <v>162270708.100021</v>
      </c>
      <c r="Q40" s="29" t="n">
        <f aca="false">IF(Q$6&gt;=01_Annahmen!$O$30,(1-$C$4*01_Annahmen!$P$30)*01_Annahmen!$N$30,0)+IF(Q$6&gt;=01_Annahmen!$O$31,(1-$C$4*01_Annahmen!$P$31)*01_Annahmen!$N$31,0)+IF(Q$6&gt;=01_Annahmen!$O$32,(1-$C$4*01_Annahmen!$P$32)*01_Annahmen!$N$32,0)+IF(Q$6&gt;=01_Annahmen!$O$33,(1-$C$4*01_Annahmen!$P$33)*01_Annahmen!$N$33,0)</f>
        <v>162270708.100021</v>
      </c>
      <c r="R40" s="29" t="n">
        <f aca="false">IF(R$6&gt;=01_Annahmen!$O$30,(1-$C$4*01_Annahmen!$P$30)*01_Annahmen!$N$30,0)+IF(R$6&gt;=01_Annahmen!$O$31,(1-$C$4*01_Annahmen!$P$31)*01_Annahmen!$N$31,0)+IF(R$6&gt;=01_Annahmen!$O$32,(1-$C$4*01_Annahmen!$P$32)*01_Annahmen!$N$32,0)+IF(R$6&gt;=01_Annahmen!$O$33,(1-$C$4*01_Annahmen!$P$33)*01_Annahmen!$N$33,0)</f>
        <v>162270708.100021</v>
      </c>
      <c r="S40" s="29" t="n">
        <f aca="false">IF(S$6&gt;=01_Annahmen!$O$30,(1-$C$4*01_Annahmen!$P$30)*01_Annahmen!$N$30,0)+IF(S$6&gt;=01_Annahmen!$O$31,(1-$C$4*01_Annahmen!$P$31)*01_Annahmen!$N$31,0)+IF(S$6&gt;=01_Annahmen!$O$32,(1-$C$4*01_Annahmen!$P$32)*01_Annahmen!$N$32,0)+IF(S$6&gt;=01_Annahmen!$O$33,(1-$C$4*01_Annahmen!$P$33)*01_Annahmen!$N$33,0)</f>
        <v>162270708.100021</v>
      </c>
    </row>
    <row r="41" customFormat="false" ht="15" hidden="false" customHeight="false" outlineLevel="0" collapsed="false">
      <c r="B41" s="7" t="s">
        <v>184</v>
      </c>
      <c r="E41" s="35" t="n">
        <f aca="false">IF(E40=0,0,E39/E40)</f>
        <v>0</v>
      </c>
      <c r="F41" s="35" t="n">
        <f aca="false">IF(F40=0,0,F39/F40)</f>
        <v>0</v>
      </c>
      <c r="G41" s="35" t="n">
        <f aca="false">IF(G40=0,0,G39/G40)</f>
        <v>0</v>
      </c>
      <c r="H41" s="35" t="n">
        <f aca="false">IF(H40=0,0,H39/H40)</f>
        <v>2.14898366038243</v>
      </c>
      <c r="I41" s="35" t="n">
        <f aca="false">IF(I40=0,0,I39/I40)</f>
        <v>0.853075482703074</v>
      </c>
      <c r="J41" s="35" t="n">
        <f aca="false">IF(J40=0,0,J39/J40)</f>
        <v>1.04546571656374</v>
      </c>
      <c r="K41" s="35" t="n">
        <f aca="false">IF(K40=0,0,K39/K40)</f>
        <v>0.661096645051647</v>
      </c>
      <c r="L41" s="35" t="n">
        <f aca="false">IF(L40=0,0,L39/L40)</f>
        <v>0.654485678601131</v>
      </c>
      <c r="M41" s="35" t="n">
        <f aca="false">IF(M40=0,0,M39/M40)</f>
        <v>0.64794082181512</v>
      </c>
      <c r="N41" s="35" t="n">
        <f aca="false">IF(N40=0,0,N39/N40)</f>
        <v>0.641461413596969</v>
      </c>
      <c r="O41" s="35" t="n">
        <f aca="false">IF(O40=0,0,O39/O40)</f>
        <v>0.635046799460999</v>
      </c>
      <c r="P41" s="35" t="n">
        <f aca="false">IF(P40=0,0,P39/P40)</f>
        <v>0.628696331466389</v>
      </c>
      <c r="Q41" s="35" t="n">
        <f aca="false">IF(Q40=0,0,Q39/Q40)</f>
        <v>0.622409368151725</v>
      </c>
      <c r="R41" s="35" t="n">
        <f aca="false">IF(R40=0,0,R39/R40)</f>
        <v>0.616185274470208</v>
      </c>
      <c r="S41" s="35" t="n">
        <f aca="false">IF(S40=0,0,S39/S40)</f>
        <v>0.610023421725506</v>
      </c>
    </row>
    <row r="42" customFormat="false" ht="15" hidden="false" customHeight="false" outlineLevel="0" collapsed="false">
      <c r="B42" s="7" t="s">
        <v>185</v>
      </c>
      <c r="E42" s="35" t="n">
        <f aca="false">E39/02_Investitionen!$D$18</f>
        <v>0</v>
      </c>
      <c r="F42" s="35" t="n">
        <f aca="false">F39/02_Investitionen!$D$18</f>
        <v>0</v>
      </c>
      <c r="G42" s="35" t="n">
        <f aca="false">G39/02_Investitionen!$D$18</f>
        <v>0.20167294422431</v>
      </c>
      <c r="H42" s="35" t="n">
        <f aca="false">H39/02_Investitionen!$D$18</f>
        <v>0.389976863581297</v>
      </c>
      <c r="I42" s="35" t="n">
        <f aca="false">I39/02_Investitionen!$D$18</f>
        <v>0.534493284848534</v>
      </c>
      <c r="J42" s="35" t="n">
        <f aca="false">J39/02_Investitionen!$D$18</f>
        <v>0.655035124526227</v>
      </c>
      <c r="K42" s="35" t="n">
        <f aca="false">K39/02_Investitionen!$D$18</f>
        <v>0.655035124526227</v>
      </c>
      <c r="L42" s="35" t="n">
        <f aca="false">L39/02_Investitionen!$D$18</f>
        <v>0.648484773280964</v>
      </c>
      <c r="M42" s="35" t="n">
        <f aca="false">M39/02_Investitionen!$D$18</f>
        <v>0.641999925548155</v>
      </c>
      <c r="N42" s="35" t="n">
        <f aca="false">N39/02_Investitionen!$D$18</f>
        <v>0.635579926292673</v>
      </c>
      <c r="O42" s="35" t="n">
        <f aca="false">O39/02_Investitionen!$D$18</f>
        <v>0.629224127029746</v>
      </c>
      <c r="P42" s="35" t="n">
        <f aca="false">P39/02_Investitionen!$D$18</f>
        <v>0.622931885759449</v>
      </c>
      <c r="Q42" s="35" t="n">
        <f aca="false">Q39/02_Investitionen!$D$18</f>
        <v>0.616702566901854</v>
      </c>
      <c r="R42" s="35" t="n">
        <f aca="false">R39/02_Investitionen!$D$18</f>
        <v>0.610535541232836</v>
      </c>
      <c r="S42" s="35" t="n">
        <f aca="false">S39/02_Investitionen!$D$18</f>
        <v>0.604430185820507</v>
      </c>
    </row>
    <row r="43" customFormat="false" ht="15" hidden="false" customHeight="false" outlineLevel="0" collapsed="false">
      <c r="B43" s="7" t="s">
        <v>186</v>
      </c>
      <c r="E43" s="41" t="n">
        <f aca="false">IF(E35+E36=0,0,E12/(E35+E36))</f>
        <v>0</v>
      </c>
      <c r="F43" s="41" t="n">
        <f aca="false">IF(F35+F36=0,0,F12/(F35+F36))</f>
        <v>0</v>
      </c>
      <c r="G43" s="41" t="n">
        <f aca="false">IF(G35+G36=0,0,G12/(G35+G36))</f>
        <v>0</v>
      </c>
      <c r="H43" s="41" t="n">
        <f aca="false">IF(H35+H36=0,0,H12/(H35+H36))</f>
        <v>0.578612926061182</v>
      </c>
      <c r="I43" s="41" t="n">
        <f aca="false">IF(I35+I36=0,0,I12/(I35+I36))</f>
        <v>1.56552375780187</v>
      </c>
      <c r="J43" s="41" t="n">
        <f aca="false">IF(J35+J36=0,0,J12/(J35+J36))</f>
        <v>1.71375369485053</v>
      </c>
      <c r="K43" s="41" t="n">
        <f aca="false">IF(K35+K36=0,0,K12/(K35+K36))</f>
        <v>2.45137743976308</v>
      </c>
      <c r="L43" s="41" t="n">
        <f aca="false">IF(L35+L36=0,0,L12/(L35+L36))</f>
        <v>1.82814359312656</v>
      </c>
      <c r="M43" s="41" t="n">
        <f aca="false">IF(M35+M36=0,0,M12/(M35+M36))</f>
        <v>1.98144998825968</v>
      </c>
      <c r="N43" s="41" t="n">
        <f aca="false">IF(N35+N36=0,0,N12/(N35+N36))</f>
        <v>2.01920744401032</v>
      </c>
      <c r="O43" s="41" t="n">
        <f aca="false">IF(O35+O36=0,0,O12/(O35+O36))</f>
        <v>2.0576867513571</v>
      </c>
      <c r="P43" s="41" t="n">
        <f aca="false">IF(P35+P36=0,0,P12/(P35+P36))</f>
        <v>2.09690175572639</v>
      </c>
      <c r="Q43" s="41" t="n">
        <f aca="false">IF(Q35+Q36=0,0,Q12/(Q35+Q36))</f>
        <v>2.13686656895866</v>
      </c>
      <c r="R43" s="41" t="n">
        <f aca="false">IF(R35+R36=0,0,R12/(R35+R36))</f>
        <v>2.17759557445098</v>
      </c>
      <c r="S43" s="41" t="n">
        <f aca="false">IF(S35+S36=0,0,S12/(S35+S36))</f>
        <v>2.2191034323991</v>
      </c>
    </row>
    <row r="44" customFormat="false" ht="15" hidden="false" customHeight="false" outlineLevel="0" collapsed="false">
      <c r="B44" s="7" t="s">
        <v>187</v>
      </c>
      <c r="E44" s="41" t="n">
        <f aca="false">IF(E35=0,0,E12/E35)</f>
        <v>0</v>
      </c>
      <c r="F44" s="41" t="n">
        <f aca="false">IF(F35=0,0,F12/F35)</f>
        <v>0</v>
      </c>
      <c r="G44" s="41" t="n">
        <f aca="false">IF(G35=0,0,G12/G35)</f>
        <v>0</v>
      </c>
      <c r="H44" s="41" t="n">
        <f aca="false">IF(H35=0,0,H12/H35)</f>
        <v>0.578612926061182</v>
      </c>
      <c r="I44" s="41" t="n">
        <f aca="false">IF(I35=0,0,I12/I35)</f>
        <v>1.56552375780187</v>
      </c>
      <c r="J44" s="41" t="n">
        <f aca="false">IF(J35=0,0,J12/J35)</f>
        <v>1.71375369485053</v>
      </c>
      <c r="K44" s="41" t="n">
        <f aca="false">IF(K35=0,0,K12/K35)</f>
        <v>2.45137743976308</v>
      </c>
      <c r="L44" s="41" t="n">
        <f aca="false">IF(L35=0,0,L12/L35)</f>
        <v>2.64065185673836</v>
      </c>
      <c r="M44" s="41" t="n">
        <f aca="false">IF(M35=0,0,M12/M35)</f>
        <v>2.8620944274862</v>
      </c>
      <c r="N44" s="41" t="n">
        <f aca="false">IF(N35=0,0,N12/N35)</f>
        <v>2.91663297468157</v>
      </c>
      <c r="O44" s="41" t="n">
        <f aca="false">IF(O35=0,0,O12/O35)</f>
        <v>2.97221419640471</v>
      </c>
      <c r="P44" s="41" t="n">
        <f aca="false">IF(P35=0,0,P12/P35)</f>
        <v>3.02885809160479</v>
      </c>
      <c r="Q44" s="41" t="n">
        <f aca="false">IF(Q35=0,0,Q12/Q35)</f>
        <v>3.08658504405139</v>
      </c>
      <c r="R44" s="41" t="n">
        <f aca="false">IF(R35=0,0,R12/R35)</f>
        <v>3.14541582976253</v>
      </c>
      <c r="S44" s="41" t="n">
        <f aca="false">IF(S35=0,0,S12/S35)</f>
        <v>3.20537162457647</v>
      </c>
    </row>
    <row r="46" customFormat="false" ht="15" hidden="false" customHeight="false" outlineLevel="0" collapsed="false">
      <c r="B46" s="16" t="s">
        <v>188</v>
      </c>
    </row>
    <row r="47" customFormat="false" ht="15" hidden="false" customHeight="false" outlineLevel="0" collapsed="false">
      <c r="B47" s="7" t="s">
        <v>189</v>
      </c>
      <c r="D47" s="29" t="n">
        <f aca="false">SUM(E47:S47)</f>
        <v>34636612.1570843</v>
      </c>
      <c r="E47" s="29" t="n">
        <f aca="false">MAX(0,E12-E35-E36)+E17-E37</f>
        <v>0</v>
      </c>
      <c r="F47" s="29" t="n">
        <f aca="false">MAX(0,F12-F35-F36)+F17-F37</f>
        <v>0</v>
      </c>
      <c r="G47" s="29" t="n">
        <f aca="false">MAX(0,G12-G35-G36)+G17-G37</f>
        <v>0</v>
      </c>
      <c r="H47" s="29" t="n">
        <f aca="false">MAX(0,H12-H35-H36)+H17-H37</f>
        <v>0</v>
      </c>
      <c r="I47" s="29" t="n">
        <f aca="false">MAX(0,I12-I35-I36)+I17-I37</f>
        <v>963245.003754728</v>
      </c>
      <c r="J47" s="29" t="n">
        <f aca="false">MAX(0,J12-J35-J36)+J17-J37</f>
        <v>1564286.17325035</v>
      </c>
      <c r="K47" s="29" t="n">
        <f aca="false">MAX(0,K12-K35-K36)+K17-K37</f>
        <v>3503224.51019744</v>
      </c>
      <c r="L47" s="29" t="n">
        <f aca="false">MAX(0,L12-L35-L36)+L17-L37</f>
        <v>2887314.49946745</v>
      </c>
      <c r="M47" s="29" t="n">
        <f aca="false">MAX(0,M12-M35-M36)+M17-M37</f>
        <v>3387597.58219799</v>
      </c>
      <c r="N47" s="29" t="n">
        <f aca="false">MAX(0,N12-N35-N36)+N17-N37</f>
        <v>3482742.94894819</v>
      </c>
      <c r="O47" s="29" t="n">
        <f aca="false">MAX(0,O12-O35-O36)+O17-O37</f>
        <v>3578088.62774859</v>
      </c>
      <c r="P47" s="29" t="n">
        <f aca="false">MAX(0,P12-P35-P36)+P17-P37</f>
        <v>3673643.04786585</v>
      </c>
      <c r="Q47" s="29" t="n">
        <f aca="false">MAX(0,Q12-Q35-Q36)+Q17-Q37</f>
        <v>3769414.65007861</v>
      </c>
      <c r="R47" s="29" t="n">
        <f aca="false">MAX(0,R12-R35-R36)+R17-R37</f>
        <v>3865411.88745348</v>
      </c>
      <c r="S47" s="29" t="n">
        <f aca="false">MAX(0,S12-S35-S36)+S17-S37</f>
        <v>3961643.22612159</v>
      </c>
    </row>
    <row r="48" customFormat="false" ht="15" hidden="false" customHeight="false" outlineLevel="0" collapsed="false">
      <c r="B48" s="31" t="s">
        <v>190</v>
      </c>
      <c r="C48" s="31"/>
      <c r="D48" s="32" t="n">
        <f aca="false">SUM(E48:S48)</f>
        <v>50047888.8371256</v>
      </c>
      <c r="E48" s="32" t="n">
        <f aca="false">E19-E33+E47</f>
        <v>-47363959</v>
      </c>
      <c r="F48" s="32" t="n">
        <f aca="false">F19-F33+F47</f>
        <v>-6375000</v>
      </c>
      <c r="G48" s="32" t="n">
        <f aca="false">G19-G33+G47</f>
        <v>-3581352.3</v>
      </c>
      <c r="H48" s="32" t="n">
        <f aca="false">H19-H33+H47</f>
        <v>0</v>
      </c>
      <c r="I48" s="32" t="n">
        <f aca="false">I19-I33+I47</f>
        <v>963245.003754728</v>
      </c>
      <c r="J48" s="32" t="n">
        <f aca="false">J19-J33+J47</f>
        <v>1564286.17325035</v>
      </c>
      <c r="K48" s="32" t="n">
        <f aca="false">K19-K33+K47</f>
        <v>3503224.51019744</v>
      </c>
      <c r="L48" s="32" t="n">
        <f aca="false">L19-L33+L47</f>
        <v>2887314.49946745</v>
      </c>
      <c r="M48" s="32" t="n">
        <f aca="false">M19-M33+M47</f>
        <v>3387597.58219799</v>
      </c>
      <c r="N48" s="32" t="n">
        <f aca="false">N19-N33+N47</f>
        <v>3482742.94894819</v>
      </c>
      <c r="O48" s="32" t="n">
        <f aca="false">O19-O33+O47</f>
        <v>3578088.62774859</v>
      </c>
      <c r="P48" s="32" t="n">
        <f aca="false">P19-P33+P47</f>
        <v>3673643.04786585</v>
      </c>
      <c r="Q48" s="32" t="n">
        <f aca="false">Q19-Q33+Q47</f>
        <v>3769414.65007861</v>
      </c>
      <c r="R48" s="32" t="n">
        <f aca="false">R19-R33+R47</f>
        <v>3865411.88745348</v>
      </c>
      <c r="S48" s="32" t="n">
        <f aca="false">S19-S33+S47+S24-S39</f>
        <v>76693231.2061629</v>
      </c>
    </row>
    <row r="50" customFormat="false" ht="15" hidden="false" customHeight="false" outlineLevel="0" collapsed="false">
      <c r="B50" s="16" t="s">
        <v>191</v>
      </c>
    </row>
    <row r="51" customFormat="false" ht="19.5" hidden="false" customHeight="true" outlineLevel="0" collapsed="false">
      <c r="B51" s="3" t="s">
        <v>2</v>
      </c>
      <c r="C51" s="4"/>
      <c r="D51" s="4" t="s">
        <v>44</v>
      </c>
      <c r="E51" s="4" t="s">
        <v>5</v>
      </c>
    </row>
    <row r="52" customFormat="false" ht="15" hidden="false" customHeight="false" outlineLevel="0" collapsed="false">
      <c r="B52" s="7" t="s">
        <v>6</v>
      </c>
      <c r="C52" s="29" t="n">
        <f aca="false">02_Investitionen!$D$18</f>
        <v>163772318</v>
      </c>
      <c r="D52" s="7" t="s">
        <v>7</v>
      </c>
    </row>
    <row r="53" customFormat="false" ht="15" hidden="false" customHeight="false" outlineLevel="0" collapsed="false">
      <c r="B53" s="7" t="s">
        <v>8</v>
      </c>
      <c r="C53" s="29" t="n">
        <f aca="false">01_Annahmen!$C$25</f>
        <v>46101459</v>
      </c>
      <c r="D53" s="7" t="s">
        <v>7</v>
      </c>
    </row>
    <row r="54" customFormat="false" ht="15" hidden="false" customHeight="false" outlineLevel="0" collapsed="false">
      <c r="B54" s="7" t="s">
        <v>9</v>
      </c>
      <c r="C54" s="29" t="n">
        <f aca="false">D33</f>
        <v>11218852.3</v>
      </c>
      <c r="D54" s="7" t="s">
        <v>7</v>
      </c>
    </row>
    <row r="55" customFormat="false" ht="15" hidden="false" customHeight="false" outlineLevel="0" collapsed="false">
      <c r="B55" s="7" t="s">
        <v>10</v>
      </c>
      <c r="C55" s="35" t="n">
        <f aca="false">(01_Annahmen!$C$25+D33)/02_Investitionen!$D$18</f>
        <v>0.35</v>
      </c>
      <c r="D55" s="7" t="s">
        <v>11</v>
      </c>
    </row>
    <row r="56" customFormat="false" ht="15" hidden="false" customHeight="false" outlineLevel="0" collapsed="false">
      <c r="B56" s="7" t="s">
        <v>12</v>
      </c>
      <c r="C56" s="29" t="n">
        <f aca="false">01_Annahmen!$C$18*02_Investitionen!$D$18</f>
        <v>106452006.7</v>
      </c>
      <c r="D56" s="7" t="s">
        <v>7</v>
      </c>
    </row>
    <row r="57" customFormat="false" ht="15" hidden="false" customHeight="false" outlineLevel="0" collapsed="false">
      <c r="B57" s="5" t="s">
        <v>13</v>
      </c>
      <c r="C57" s="34" t="n">
        <f aca="false">D39</f>
        <v>107276620.715079</v>
      </c>
      <c r="D57" s="7" t="s">
        <v>7</v>
      </c>
    </row>
    <row r="58" customFormat="false" ht="15" hidden="false" customHeight="false" outlineLevel="0" collapsed="false">
      <c r="B58" s="5" t="s">
        <v>14</v>
      </c>
      <c r="C58" s="33" t="n">
        <f aca="false">D39/02_Investitionen!$D$18</f>
        <v>0.655035124526227</v>
      </c>
      <c r="D58" s="7" t="s">
        <v>11</v>
      </c>
    </row>
    <row r="59" customFormat="false" ht="15" hidden="false" customHeight="false" outlineLevel="0" collapsed="false">
      <c r="B59" s="7" t="s">
        <v>15</v>
      </c>
      <c r="C59" s="29" t="n">
        <f aca="false">K39</f>
        <v>107276620.715079</v>
      </c>
      <c r="D59" s="7" t="s">
        <v>7</v>
      </c>
    </row>
    <row r="60" customFormat="false" ht="15" hidden="false" customHeight="false" outlineLevel="0" collapsed="false">
      <c r="B60" s="7" t="s">
        <v>16</v>
      </c>
      <c r="C60" s="29" t="n">
        <f aca="false">L40</f>
        <v>162270708.100021</v>
      </c>
      <c r="D60" s="7" t="s">
        <v>7</v>
      </c>
    </row>
    <row r="61" customFormat="false" ht="15" hidden="false" customHeight="false" outlineLevel="0" collapsed="false">
      <c r="B61" s="7" t="s">
        <v>17</v>
      </c>
      <c r="C61" s="29" t="n">
        <f aca="false">01_Annahmen!$C$21*L40</f>
        <v>97362424.8600123</v>
      </c>
      <c r="D61" s="7" t="s">
        <v>7</v>
      </c>
    </row>
    <row r="62" customFormat="false" ht="15" hidden="false" customHeight="false" outlineLevel="0" collapsed="false">
      <c r="B62" s="5" t="s">
        <v>18</v>
      </c>
      <c r="C62" s="34" t="n">
        <f aca="false">MAX(0,K39-01_Annahmen!$C$21*L40)</f>
        <v>9914195.85506645</v>
      </c>
      <c r="D62" s="7" t="s">
        <v>7</v>
      </c>
    </row>
    <row r="63" customFormat="false" ht="15" hidden="false" customHeight="false" outlineLevel="0" collapsed="false">
      <c r="B63" s="7" t="s">
        <v>19</v>
      </c>
      <c r="C63" s="35" t="n">
        <f aca="false">L41</f>
        <v>0.654485678601131</v>
      </c>
      <c r="D63" s="7" t="s">
        <v>11</v>
      </c>
    </row>
    <row r="64" customFormat="false" ht="15" hidden="false" customHeight="false" outlineLevel="0" collapsed="false">
      <c r="B64" s="5" t="s">
        <v>20</v>
      </c>
      <c r="C64" s="42" t="n">
        <f aca="false">MIN(L43:S43)</f>
        <v>1.82814359312656</v>
      </c>
      <c r="D64" s="7" t="s">
        <v>21</v>
      </c>
    </row>
    <row r="65" customFormat="false" ht="15" hidden="false" customHeight="false" outlineLevel="0" collapsed="false">
      <c r="B65" s="7" t="s">
        <v>22</v>
      </c>
      <c r="C65" s="41" t="n">
        <f aca="false">L44</f>
        <v>2.64065185673836</v>
      </c>
      <c r="D65" s="7" t="s">
        <v>21</v>
      </c>
    </row>
    <row r="66" customFormat="false" ht="15" hidden="false" customHeight="false" outlineLevel="0" collapsed="false">
      <c r="B66" s="7" t="s">
        <v>23</v>
      </c>
      <c r="C66" s="29" t="n">
        <f aca="false">L12</f>
        <v>6373804.67270751</v>
      </c>
      <c r="D66" s="7" t="s">
        <v>7</v>
      </c>
    </row>
    <row r="67" customFormat="false" ht="15" hidden="false" customHeight="false" outlineLevel="0" collapsed="false">
      <c r="B67" s="7" t="s">
        <v>24</v>
      </c>
      <c r="C67" s="29" t="n">
        <f aca="false">D17</f>
        <v>0</v>
      </c>
      <c r="D67" s="7" t="s">
        <v>7</v>
      </c>
    </row>
    <row r="68" customFormat="false" ht="15" hidden="false" customHeight="false" outlineLevel="0" collapsed="false">
      <c r="B68" s="5" t="s">
        <v>25</v>
      </c>
      <c r="C68" s="34" t="n">
        <f aca="false">D27</f>
        <v>-28475603.8129778</v>
      </c>
      <c r="D68" s="7" t="s">
        <v>7</v>
      </c>
    </row>
    <row r="69" customFormat="false" ht="15" hidden="false" customHeight="false" outlineLevel="0" collapsed="false">
      <c r="B69" s="7" t="s">
        <v>26</v>
      </c>
      <c r="C69" s="20" t="n">
        <f aca="false">IRR(E25:S25)</f>
        <v>0.0373865942682886</v>
      </c>
      <c r="D69" s="7" t="s">
        <v>11</v>
      </c>
    </row>
    <row r="70" customFormat="false" ht="15" hidden="false" customHeight="false" outlineLevel="0" collapsed="false">
      <c r="B70" s="5" t="s">
        <v>27</v>
      </c>
      <c r="C70" s="22" t="n">
        <f aca="false">IRR(E48:S48)</f>
        <v>0.0526792796103743</v>
      </c>
      <c r="D70" s="7" t="s">
        <v>11</v>
      </c>
    </row>
    <row r="71" customFormat="false" ht="15" hidden="false" customHeight="false" outlineLevel="0" collapsed="false">
      <c r="B71" s="7" t="s">
        <v>28</v>
      </c>
      <c r="C71" s="41" t="n">
        <f aca="false">SUMIF(E48:S48,"&gt;0")/-SUMIF(E48:S48,"&lt;0")</f>
        <v>1.87312660559688</v>
      </c>
      <c r="D71" s="7" t="s">
        <v>21</v>
      </c>
    </row>
    <row r="72" customFormat="false" ht="15" hidden="false" customHeight="false" outlineLevel="0" collapsed="false">
      <c r="B72" s="7" t="s">
        <v>29</v>
      </c>
      <c r="C72" s="29" t="n">
        <f aca="false">D24</f>
        <v>171720520.581037</v>
      </c>
      <c r="D72" s="7" t="s">
        <v>7</v>
      </c>
    </row>
    <row r="73" customFormat="false" ht="15" hidden="false" customHeight="false" outlineLevel="0" collapsed="false">
      <c r="B73" s="7" t="s">
        <v>30</v>
      </c>
      <c r="C73" s="29" t="n">
        <f aca="false">S24*S26</f>
        <v>76267819.5050773</v>
      </c>
      <c r="D73" s="7" t="s">
        <v>7</v>
      </c>
    </row>
    <row r="74" customFormat="false" ht="15" hidden="false" customHeight="false" outlineLevel="0" collapsed="false">
      <c r="B74" s="7" t="s">
        <v>32</v>
      </c>
      <c r="C74" s="7" t="str">
        <f aca="false">IF(C64&gt;=01_Annahmen!$C$24,"ja","nein")</f>
        <v>ja</v>
      </c>
      <c r="D74" s="7"/>
    </row>
    <row r="75" customFormat="false" ht="15" hidden="false" customHeight="false" outlineLevel="0" collapsed="false">
      <c r="B75" s="7" t="s">
        <v>33</v>
      </c>
      <c r="C75" s="7" t="str">
        <f aca="false">IF(C57&lt;=C56+1,"ja","nein")</f>
        <v>nein</v>
      </c>
      <c r="D75" s="7"/>
    </row>
    <row r="76" customFormat="false" ht="15" hidden="false" customHeight="false" outlineLevel="0" collapsed="false">
      <c r="B76" s="7" t="s">
        <v>34</v>
      </c>
      <c r="C76" s="29" t="n">
        <f aca="false">MAX(0,C57-C56)</f>
        <v>824614.015078753</v>
      </c>
      <c r="D76" s="7" t="s">
        <v>7</v>
      </c>
    </row>
    <row r="77" customFormat="false" ht="15" hidden="false" customHeight="false" outlineLevel="0" collapsed="false">
      <c r="B77" s="7" t="s">
        <v>31</v>
      </c>
      <c r="C77" s="29" t="n">
        <f aca="false">C53+C68</f>
        <v>17625855.1870222</v>
      </c>
      <c r="D77" s="7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U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4" min="3" style="0" width="16"/>
    <col collapsed="false" customWidth="true" hidden="false" outlineLevel="0" max="20" min="5" style="0" width="12"/>
    <col collapsed="false" customWidth="true" hidden="false" outlineLevel="0" max="21" min="21" style="0" width="9"/>
  </cols>
  <sheetData>
    <row r="2" customFormat="false" ht="18.55" hidden="false" customHeight="false" outlineLevel="0" collapsed="false">
      <c r="B2" s="1" t="s">
        <v>192</v>
      </c>
    </row>
    <row r="3" customFormat="false" ht="15" hidden="false" customHeight="false" outlineLevel="0" collapsed="false">
      <c r="B3" s="2" t="s">
        <v>193</v>
      </c>
    </row>
    <row r="4" customFormat="false" ht="15" hidden="false" customHeight="false" outlineLevel="0" collapsed="false">
      <c r="B4" s="7" t="s">
        <v>156</v>
      </c>
      <c r="C4" s="30" t="n">
        <v>1</v>
      </c>
    </row>
    <row r="5" customFormat="false" ht="21.75" hidden="false" customHeight="true" outlineLevel="0" collapsed="false">
      <c r="B5" s="3" t="s">
        <v>129</v>
      </c>
      <c r="C5" s="4" t="s">
        <v>84</v>
      </c>
      <c r="D5" s="4" t="s">
        <v>157</v>
      </c>
      <c r="E5" s="4" t="s">
        <v>116</v>
      </c>
      <c r="F5" s="4" t="s">
        <v>117</v>
      </c>
      <c r="G5" s="4" t="s">
        <v>118</v>
      </c>
      <c r="H5" s="4" t="s">
        <v>119</v>
      </c>
      <c r="I5" s="4" t="s">
        <v>120</v>
      </c>
      <c r="J5" s="4" t="s">
        <v>121</v>
      </c>
      <c r="K5" s="4" t="s">
        <v>122</v>
      </c>
      <c r="L5" s="4" t="s">
        <v>136</v>
      </c>
      <c r="M5" s="4" t="s">
        <v>137</v>
      </c>
      <c r="N5" s="4" t="s">
        <v>138</v>
      </c>
      <c r="O5" s="4" t="s">
        <v>139</v>
      </c>
      <c r="P5" s="4" t="s">
        <v>140</v>
      </c>
      <c r="Q5" s="4" t="s">
        <v>141</v>
      </c>
      <c r="R5" s="4" t="s">
        <v>142</v>
      </c>
      <c r="S5" s="4" t="s">
        <v>143</v>
      </c>
    </row>
    <row r="6" customFormat="false" ht="15" hidden="false" customHeight="false" outlineLevel="0" collapsed="false">
      <c r="E6" s="37" t="n">
        <v>2026</v>
      </c>
      <c r="F6" s="37" t="n">
        <v>2027</v>
      </c>
      <c r="G6" s="37" t="n">
        <v>2028</v>
      </c>
      <c r="H6" s="37" t="n">
        <v>2029</v>
      </c>
      <c r="I6" s="37" t="n">
        <v>2030</v>
      </c>
      <c r="J6" s="37" t="n">
        <v>2031</v>
      </c>
      <c r="K6" s="37" t="n">
        <v>2032</v>
      </c>
      <c r="L6" s="37" t="n">
        <v>2033</v>
      </c>
      <c r="M6" s="37" t="n">
        <v>2034</v>
      </c>
      <c r="N6" s="37" t="n">
        <v>2035</v>
      </c>
      <c r="O6" s="37" t="n">
        <v>2036</v>
      </c>
      <c r="P6" s="37" t="n">
        <v>2037</v>
      </c>
      <c r="Q6" s="37" t="n">
        <v>2038</v>
      </c>
      <c r="R6" s="37" t="n">
        <v>2039</v>
      </c>
      <c r="S6" s="37" t="n">
        <v>2040</v>
      </c>
    </row>
    <row r="7" customFormat="false" ht="15" hidden="false" customHeight="false" outlineLevel="0" collapsed="false">
      <c r="B7" s="16" t="s">
        <v>158</v>
      </c>
    </row>
    <row r="8" customFormat="false" ht="15" hidden="false" customHeight="false" outlineLevel="0" collapsed="false">
      <c r="B8" s="7" t="s">
        <v>159</v>
      </c>
      <c r="C8" s="7" t="s">
        <v>103</v>
      </c>
      <c r="D8" s="29" t="n">
        <f aca="false">SUM(E8:S8)</f>
        <v>0</v>
      </c>
      <c r="E8" s="29" t="n">
        <f aca="false">IF(E$6&lt;01_Annahmen!$O$30,0,(1-$C$4*01_Annahmen!$P$30)*01_Annahmen!$H$30*(1+01_Annahmen!$L$30)^(E$6-01_Annahmen!$O$30)*(1-IF(E$6=01_Annahmen!$O$30,01_Annahmen!$K$30,IF(E$6=01_Annahmen!$O$30+1,(01_Annahmen!$K$30+01_Annahmen!$I$30)/2,01_Annahmen!$I$30))-01_Annahmen!$J$30))</f>
        <v>0</v>
      </c>
      <c r="F8" s="29" t="n">
        <f aca="false">IF(F$6&lt;01_Annahmen!$O$30,0,(1-$C$4*01_Annahmen!$P$30)*01_Annahmen!$H$30*(1+01_Annahmen!$L$30)^(F$6-01_Annahmen!$O$30)*(1-IF(F$6=01_Annahmen!$O$30,01_Annahmen!$K$30,IF(F$6=01_Annahmen!$O$30+1,(01_Annahmen!$K$30+01_Annahmen!$I$30)/2,01_Annahmen!$I$30))-01_Annahmen!$J$30))</f>
        <v>0</v>
      </c>
      <c r="G8" s="29" t="n">
        <f aca="false">IF(G$6&lt;01_Annahmen!$O$30,0,(1-$C$4*01_Annahmen!$P$30)*01_Annahmen!$H$30*(1+01_Annahmen!$L$30)^(G$6-01_Annahmen!$O$30)*(1-IF(G$6=01_Annahmen!$O$30,01_Annahmen!$K$30,IF(G$6=01_Annahmen!$O$30+1,(01_Annahmen!$K$30+01_Annahmen!$I$30)/2,01_Annahmen!$I$30))-01_Annahmen!$J$30))</f>
        <v>0</v>
      </c>
      <c r="H8" s="29" t="n">
        <f aca="false">IF(H$6&lt;01_Annahmen!$O$30,0,(1-$C$4*01_Annahmen!$P$30)*01_Annahmen!$H$30*(1+01_Annahmen!$L$30)^(H$6-01_Annahmen!$O$30)*(1-IF(H$6=01_Annahmen!$O$30,01_Annahmen!$K$30,IF(H$6=01_Annahmen!$O$30+1,(01_Annahmen!$K$30+01_Annahmen!$I$30)/2,01_Annahmen!$I$30))-01_Annahmen!$J$30))</f>
        <v>0</v>
      </c>
      <c r="I8" s="29" t="n">
        <f aca="false">IF(I$6&lt;01_Annahmen!$O$30,0,(1-$C$4*01_Annahmen!$P$30)*01_Annahmen!$H$30*(1+01_Annahmen!$L$30)^(I$6-01_Annahmen!$O$30)*(1-IF(I$6=01_Annahmen!$O$30,01_Annahmen!$K$30,IF(I$6=01_Annahmen!$O$30+1,(01_Annahmen!$K$30+01_Annahmen!$I$30)/2,01_Annahmen!$I$30))-01_Annahmen!$J$30))</f>
        <v>0</v>
      </c>
      <c r="J8" s="29" t="n">
        <f aca="false">IF(J$6&lt;01_Annahmen!$O$30,0,(1-$C$4*01_Annahmen!$P$30)*01_Annahmen!$H$30*(1+01_Annahmen!$L$30)^(J$6-01_Annahmen!$O$30)*(1-IF(J$6=01_Annahmen!$O$30,01_Annahmen!$K$30,IF(J$6=01_Annahmen!$O$30+1,(01_Annahmen!$K$30+01_Annahmen!$I$30)/2,01_Annahmen!$I$30))-01_Annahmen!$J$30))</f>
        <v>0</v>
      </c>
      <c r="K8" s="29" t="n">
        <f aca="false">IF(K$6&lt;01_Annahmen!$O$30,0,(1-$C$4*01_Annahmen!$P$30)*01_Annahmen!$H$30*(1+01_Annahmen!$L$30)^(K$6-01_Annahmen!$O$30)*(1-IF(K$6=01_Annahmen!$O$30,01_Annahmen!$K$30,IF(K$6=01_Annahmen!$O$30+1,(01_Annahmen!$K$30+01_Annahmen!$I$30)/2,01_Annahmen!$I$30))-01_Annahmen!$J$30))</f>
        <v>0</v>
      </c>
      <c r="L8" s="29" t="n">
        <f aca="false">IF(L$6&lt;01_Annahmen!$O$30,0,(1-$C$4*01_Annahmen!$P$30)*01_Annahmen!$H$30*(1+01_Annahmen!$L$30)^(L$6-01_Annahmen!$O$30)*(1-IF(L$6=01_Annahmen!$O$30,01_Annahmen!$K$30,IF(L$6=01_Annahmen!$O$30+1,(01_Annahmen!$K$30+01_Annahmen!$I$30)/2,01_Annahmen!$I$30))-01_Annahmen!$J$30))</f>
        <v>0</v>
      </c>
      <c r="M8" s="29" t="n">
        <f aca="false">IF(M$6&lt;01_Annahmen!$O$30,0,(1-$C$4*01_Annahmen!$P$30)*01_Annahmen!$H$30*(1+01_Annahmen!$L$30)^(M$6-01_Annahmen!$O$30)*(1-IF(M$6=01_Annahmen!$O$30,01_Annahmen!$K$30,IF(M$6=01_Annahmen!$O$30+1,(01_Annahmen!$K$30+01_Annahmen!$I$30)/2,01_Annahmen!$I$30))-01_Annahmen!$J$30))</f>
        <v>0</v>
      </c>
      <c r="N8" s="29" t="n">
        <f aca="false">IF(N$6&lt;01_Annahmen!$O$30,0,(1-$C$4*01_Annahmen!$P$30)*01_Annahmen!$H$30*(1+01_Annahmen!$L$30)^(N$6-01_Annahmen!$O$30)*(1-IF(N$6=01_Annahmen!$O$30,01_Annahmen!$K$30,IF(N$6=01_Annahmen!$O$30+1,(01_Annahmen!$K$30+01_Annahmen!$I$30)/2,01_Annahmen!$I$30))-01_Annahmen!$J$30))</f>
        <v>0</v>
      </c>
      <c r="O8" s="29" t="n">
        <f aca="false">IF(O$6&lt;01_Annahmen!$O$30,0,(1-$C$4*01_Annahmen!$P$30)*01_Annahmen!$H$30*(1+01_Annahmen!$L$30)^(O$6-01_Annahmen!$O$30)*(1-IF(O$6=01_Annahmen!$O$30,01_Annahmen!$K$30,IF(O$6=01_Annahmen!$O$30+1,(01_Annahmen!$K$30+01_Annahmen!$I$30)/2,01_Annahmen!$I$30))-01_Annahmen!$J$30))</f>
        <v>0</v>
      </c>
      <c r="P8" s="29" t="n">
        <f aca="false">IF(P$6&lt;01_Annahmen!$O$30,0,(1-$C$4*01_Annahmen!$P$30)*01_Annahmen!$H$30*(1+01_Annahmen!$L$30)^(P$6-01_Annahmen!$O$30)*(1-IF(P$6=01_Annahmen!$O$30,01_Annahmen!$K$30,IF(P$6=01_Annahmen!$O$30+1,(01_Annahmen!$K$30+01_Annahmen!$I$30)/2,01_Annahmen!$I$30))-01_Annahmen!$J$30))</f>
        <v>0</v>
      </c>
      <c r="Q8" s="29" t="n">
        <f aca="false">IF(Q$6&lt;01_Annahmen!$O$30,0,(1-$C$4*01_Annahmen!$P$30)*01_Annahmen!$H$30*(1+01_Annahmen!$L$30)^(Q$6-01_Annahmen!$O$30)*(1-IF(Q$6=01_Annahmen!$O$30,01_Annahmen!$K$30,IF(Q$6=01_Annahmen!$O$30+1,(01_Annahmen!$K$30+01_Annahmen!$I$30)/2,01_Annahmen!$I$30))-01_Annahmen!$J$30))</f>
        <v>0</v>
      </c>
      <c r="R8" s="29" t="n">
        <f aca="false">IF(R$6&lt;01_Annahmen!$O$30,0,(1-$C$4*01_Annahmen!$P$30)*01_Annahmen!$H$30*(1+01_Annahmen!$L$30)^(R$6-01_Annahmen!$O$30)*(1-IF(R$6=01_Annahmen!$O$30,01_Annahmen!$K$30,IF(R$6=01_Annahmen!$O$30+1,(01_Annahmen!$K$30+01_Annahmen!$I$30)/2,01_Annahmen!$I$30))-01_Annahmen!$J$30))</f>
        <v>0</v>
      </c>
      <c r="S8" s="29" t="n">
        <f aca="false">IF(S$6&lt;01_Annahmen!$O$30,0,(1-$C$4*01_Annahmen!$P$30)*01_Annahmen!$H$30*(1+01_Annahmen!$L$30)^(S$6-01_Annahmen!$O$30)*(1-IF(S$6=01_Annahmen!$O$30,01_Annahmen!$K$30,IF(S$6=01_Annahmen!$O$30+1,(01_Annahmen!$K$30+01_Annahmen!$I$30)/2,01_Annahmen!$I$30))-01_Annahmen!$J$30))</f>
        <v>0</v>
      </c>
    </row>
    <row r="9" customFormat="false" ht="15" hidden="false" customHeight="false" outlineLevel="0" collapsed="false">
      <c r="B9" s="7" t="s">
        <v>159</v>
      </c>
      <c r="C9" s="7" t="s">
        <v>105</v>
      </c>
      <c r="D9" s="29" t="n">
        <f aca="false">SUM(E9:S9)</f>
        <v>17445215.3432481</v>
      </c>
      <c r="E9" s="29" t="n">
        <f aca="false">IF(E$6&lt;01_Annahmen!$O$31,0,(1-$C$4*01_Annahmen!$P$31)*01_Annahmen!$H$31*(1+01_Annahmen!$L$31)^(E$6-01_Annahmen!$O$31)*(1-IF(E$6=01_Annahmen!$O$31,01_Annahmen!$K$31,IF(E$6=01_Annahmen!$O$31+1,(01_Annahmen!$K$31+01_Annahmen!$I$31)/2,01_Annahmen!$I$31))-01_Annahmen!$J$31))</f>
        <v>0</v>
      </c>
      <c r="F9" s="29" t="n">
        <f aca="false">IF(F$6&lt;01_Annahmen!$O$31,0,(1-$C$4*01_Annahmen!$P$31)*01_Annahmen!$H$31*(1+01_Annahmen!$L$31)^(F$6-01_Annahmen!$O$31)*(1-IF(F$6=01_Annahmen!$O$31,01_Annahmen!$K$31,IF(F$6=01_Annahmen!$O$31+1,(01_Annahmen!$K$31+01_Annahmen!$I$31)/2,01_Annahmen!$I$31))-01_Annahmen!$J$31))</f>
        <v>0</v>
      </c>
      <c r="G9" s="29" t="n">
        <f aca="false">IF(G$6&lt;01_Annahmen!$O$31,0,(1-$C$4*01_Annahmen!$P$31)*01_Annahmen!$H$31*(1+01_Annahmen!$L$31)^(G$6-01_Annahmen!$O$31)*(1-IF(G$6=01_Annahmen!$O$31,01_Annahmen!$K$31,IF(G$6=01_Annahmen!$O$31+1,(01_Annahmen!$K$31+01_Annahmen!$I$31)/2,01_Annahmen!$I$31))-01_Annahmen!$J$31))</f>
        <v>0</v>
      </c>
      <c r="H9" s="29" t="n">
        <f aca="false">IF(H$6&lt;01_Annahmen!$O$31,0,(1-$C$4*01_Annahmen!$P$31)*01_Annahmen!$H$31*(1+01_Annahmen!$L$31)^(H$6-01_Annahmen!$O$31)*(1-IF(H$6=01_Annahmen!$O$31,01_Annahmen!$K$31,IF(H$6=01_Annahmen!$O$31+1,(01_Annahmen!$K$31+01_Annahmen!$I$31)/2,01_Annahmen!$I$31))-01_Annahmen!$J$31))</f>
        <v>0</v>
      </c>
      <c r="I9" s="29" t="n">
        <f aca="false">IF(I$6&lt;01_Annahmen!$O$31,0,(1-$C$4*01_Annahmen!$P$31)*01_Annahmen!$H$31*(1+01_Annahmen!$L$31)^(I$6-01_Annahmen!$O$31)*(1-IF(I$6=01_Annahmen!$O$31,01_Annahmen!$K$31,IF(I$6=01_Annahmen!$O$31+1,(01_Annahmen!$K$31+01_Annahmen!$I$31)/2,01_Annahmen!$I$31))-01_Annahmen!$J$31))</f>
        <v>818361.4354</v>
      </c>
      <c r="J9" s="29" t="n">
        <f aca="false">IF(J$6&lt;01_Annahmen!$O$31,0,(1-$C$4*01_Annahmen!$P$31)*01_Annahmen!$H$31*(1+01_Annahmen!$L$31)^(J$6-01_Annahmen!$O$31)*(1-IF(J$6=01_Annahmen!$O$31,01_Annahmen!$K$31,IF(J$6=01_Annahmen!$O$31+1,(01_Annahmen!$K$31+01_Annahmen!$I$31)/2,01_Annahmen!$I$31))-01_Annahmen!$J$31))</f>
        <v>1233332.446275</v>
      </c>
      <c r="K9" s="29" t="n">
        <f aca="false">IF(K$6&lt;01_Annahmen!$O$31,0,(1-$C$4*01_Annahmen!$P$31)*01_Annahmen!$H$31*(1+01_Annahmen!$L$31)^(K$6-01_Annahmen!$O$31)*(1-IF(K$6=01_Annahmen!$O$31,01_Annahmen!$K$31,IF(K$6=01_Annahmen!$O$31+1,(01_Annahmen!$K$31+01_Annahmen!$I$31)/2,01_Annahmen!$I$31))-01_Annahmen!$J$31))</f>
        <v>1655053.95510543</v>
      </c>
      <c r="L9" s="29" t="n">
        <f aca="false">IF(L$6&lt;01_Annahmen!$O$31,0,(1-$C$4*01_Annahmen!$P$31)*01_Annahmen!$H$31*(1+01_Annahmen!$L$31)^(L$6-01_Annahmen!$O$31)*(1-IF(L$6=01_Annahmen!$O$31,01_Annahmen!$K$31,IF(L$6=01_Annahmen!$O$31+1,(01_Annahmen!$K$31+01_Annahmen!$I$31)/2,01_Annahmen!$I$31))-01_Annahmen!$J$31))</f>
        <v>1668625.3975373</v>
      </c>
      <c r="M9" s="29" t="n">
        <f aca="false">IF(M$6&lt;01_Annahmen!$O$31,0,(1-$C$4*01_Annahmen!$P$31)*01_Annahmen!$H$31*(1+01_Annahmen!$L$31)^(M$6-01_Annahmen!$O$31)*(1-IF(M$6=01_Annahmen!$O$31,01_Annahmen!$K$31,IF(M$6=01_Annahmen!$O$31+1,(01_Annahmen!$K$31+01_Annahmen!$I$31)/2,01_Annahmen!$I$31))-01_Annahmen!$J$31))</f>
        <v>1682308.1257971</v>
      </c>
      <c r="N9" s="29" t="n">
        <f aca="false">IF(N$6&lt;01_Annahmen!$O$31,0,(1-$C$4*01_Annahmen!$P$31)*01_Annahmen!$H$31*(1+01_Annahmen!$L$31)^(N$6-01_Annahmen!$O$31)*(1-IF(N$6=01_Annahmen!$O$31,01_Annahmen!$K$31,IF(N$6=01_Annahmen!$O$31+1,(01_Annahmen!$K$31+01_Annahmen!$I$31)/2,01_Annahmen!$I$31))-01_Annahmen!$J$31))</f>
        <v>1696103.05242864</v>
      </c>
      <c r="O9" s="29" t="n">
        <f aca="false">IF(O$6&lt;01_Annahmen!$O$31,0,(1-$C$4*01_Annahmen!$P$31)*01_Annahmen!$H$31*(1+01_Annahmen!$L$31)^(O$6-01_Annahmen!$O$31)*(1-IF(O$6=01_Annahmen!$O$31,01_Annahmen!$K$31,IF(O$6=01_Annahmen!$O$31+1,(01_Annahmen!$K$31+01_Annahmen!$I$31)/2,01_Annahmen!$I$31))-01_Annahmen!$J$31))</f>
        <v>1710011.09745856</v>
      </c>
      <c r="P9" s="29" t="n">
        <f aca="false">IF(P$6&lt;01_Annahmen!$O$31,0,(1-$C$4*01_Annahmen!$P$31)*01_Annahmen!$H$31*(1+01_Annahmen!$L$31)^(P$6-01_Annahmen!$O$31)*(1-IF(P$6=01_Annahmen!$O$31,01_Annahmen!$K$31,IF(P$6=01_Annahmen!$O$31+1,(01_Annahmen!$K$31+01_Annahmen!$I$31)/2,01_Annahmen!$I$31))-01_Annahmen!$J$31))</f>
        <v>1724033.18845772</v>
      </c>
      <c r="Q9" s="29" t="n">
        <f aca="false">IF(Q$6&lt;01_Annahmen!$O$31,0,(1-$C$4*01_Annahmen!$P$31)*01_Annahmen!$H$31*(1+01_Annahmen!$L$31)^(Q$6-01_Annahmen!$O$31)*(1-IF(Q$6=01_Annahmen!$O$31,01_Annahmen!$K$31,IF(Q$6=01_Annahmen!$O$31+1,(01_Annahmen!$K$31+01_Annahmen!$I$31)/2,01_Annahmen!$I$31))-01_Annahmen!$J$31))</f>
        <v>1738170.26060307</v>
      </c>
      <c r="R9" s="29" t="n">
        <f aca="false">IF(R$6&lt;01_Annahmen!$O$31,0,(1-$C$4*01_Annahmen!$P$31)*01_Annahmen!$H$31*(1+01_Annahmen!$L$31)^(R$6-01_Annahmen!$O$31)*(1-IF(R$6=01_Annahmen!$O$31,01_Annahmen!$K$31,IF(R$6=01_Annahmen!$O$31+1,(01_Annahmen!$K$31+01_Annahmen!$I$31)/2,01_Annahmen!$I$31))-01_Annahmen!$J$31))</f>
        <v>1752423.25674001</v>
      </c>
      <c r="S9" s="29" t="n">
        <f aca="false">IF(S$6&lt;01_Annahmen!$O$31,0,(1-$C$4*01_Annahmen!$P$31)*01_Annahmen!$H$31*(1+01_Annahmen!$L$31)^(S$6-01_Annahmen!$O$31)*(1-IF(S$6=01_Annahmen!$O$31,01_Annahmen!$K$31,IF(S$6=01_Annahmen!$O$31+1,(01_Annahmen!$K$31+01_Annahmen!$I$31)/2,01_Annahmen!$I$31))-01_Annahmen!$J$31))</f>
        <v>1766793.12744528</v>
      </c>
    </row>
    <row r="10" customFormat="false" ht="15" hidden="false" customHeight="false" outlineLevel="0" collapsed="false">
      <c r="B10" s="7" t="s">
        <v>159</v>
      </c>
      <c r="C10" s="7" t="s">
        <v>107</v>
      </c>
      <c r="D10" s="29" t="n">
        <f aca="false">SUM(E10:S10)</f>
        <v>20516832.082985</v>
      </c>
      <c r="E10" s="29" t="n">
        <f aca="false">IF(E$6&lt;01_Annahmen!$O$32,0,(1-$C$4*01_Annahmen!$P$32)*01_Annahmen!$H$32*(1+01_Annahmen!$L$32)^(E$6-01_Annahmen!$O$32)*(1-IF(E$6=01_Annahmen!$O$32,01_Annahmen!$K$32,IF(E$6=01_Annahmen!$O$32+1,(01_Annahmen!$K$32+01_Annahmen!$I$32)/2,01_Annahmen!$I$32))-01_Annahmen!$J$32))</f>
        <v>0</v>
      </c>
      <c r="F10" s="29" t="n">
        <f aca="false">IF(F$6&lt;01_Annahmen!$O$32,0,(1-$C$4*01_Annahmen!$P$32)*01_Annahmen!$H$32*(1+01_Annahmen!$L$32)^(F$6-01_Annahmen!$O$32)*(1-IF(F$6=01_Annahmen!$O$32,01_Annahmen!$K$32,IF(F$6=01_Annahmen!$O$32+1,(01_Annahmen!$K$32+01_Annahmen!$I$32)/2,01_Annahmen!$I$32))-01_Annahmen!$J$32))</f>
        <v>0</v>
      </c>
      <c r="G10" s="29" t="n">
        <f aca="false">IF(G$6&lt;01_Annahmen!$O$32,0,(1-$C$4*01_Annahmen!$P$32)*01_Annahmen!$H$32*(1+01_Annahmen!$L$32)^(G$6-01_Annahmen!$O$32)*(1-IF(G$6=01_Annahmen!$O$32,01_Annahmen!$K$32,IF(G$6=01_Annahmen!$O$32+1,(01_Annahmen!$K$32+01_Annahmen!$I$32)/2,01_Annahmen!$I$32))-01_Annahmen!$J$32))</f>
        <v>0</v>
      </c>
      <c r="H10" s="29" t="n">
        <f aca="false">IF(H$6&lt;01_Annahmen!$O$32,0,(1-$C$4*01_Annahmen!$P$32)*01_Annahmen!$H$32*(1+01_Annahmen!$L$32)^(H$6-01_Annahmen!$O$32)*(1-IF(H$6=01_Annahmen!$O$32,01_Annahmen!$K$32,IF(H$6=01_Annahmen!$O$32+1,(01_Annahmen!$K$32+01_Annahmen!$I$32)/2,01_Annahmen!$I$32))-01_Annahmen!$J$32))</f>
        <v>0</v>
      </c>
      <c r="I10" s="29" t="n">
        <f aca="false">IF(I$6&lt;01_Annahmen!$O$32,0,(1-$C$4*01_Annahmen!$P$32)*01_Annahmen!$H$32*(1+01_Annahmen!$L$32)^(I$6-01_Annahmen!$O$32)*(1-IF(I$6=01_Annahmen!$O$32,01_Annahmen!$K$32,IF(I$6=01_Annahmen!$O$32+1,(01_Annahmen!$K$32+01_Annahmen!$I$32)/2,01_Annahmen!$I$32))-01_Annahmen!$J$32))</f>
        <v>1012151.1816</v>
      </c>
      <c r="J10" s="29" t="n">
        <f aca="false">IF(J$6&lt;01_Annahmen!$O$32,0,(1-$C$4*01_Annahmen!$P$32)*01_Annahmen!$H$32*(1+01_Annahmen!$L$32)^(J$6-01_Annahmen!$O$32)*(1-IF(J$6=01_Annahmen!$O$32,01_Annahmen!$K$32,IF(J$6=01_Annahmen!$O$32+1,(01_Annahmen!$K$32+01_Annahmen!$I$32)/2,01_Annahmen!$I$32))-01_Annahmen!$J$32))</f>
        <v>1474218.26261424</v>
      </c>
      <c r="K10" s="29" t="n">
        <f aca="false">IF(K$6&lt;01_Annahmen!$O$32,0,(1-$C$4*01_Annahmen!$P$32)*01_Annahmen!$H$32*(1+01_Annahmen!$L$32)^(K$6-01_Annahmen!$O$32)*(1-IF(K$6=01_Annahmen!$O$32,01_Annahmen!$K$32,IF(K$6=01_Annahmen!$O$32+1,(01_Annahmen!$K$32+01_Annahmen!$I$32)/2,01_Annahmen!$I$32))-01_Annahmen!$J$32))</f>
        <v>1943250.30140765</v>
      </c>
      <c r="L10" s="29" t="n">
        <f aca="false">IF(L$6&lt;01_Annahmen!$O$32,0,(1-$C$4*01_Annahmen!$P$32)*01_Annahmen!$H$32*(1+01_Annahmen!$L$32)^(L$6-01_Annahmen!$O$32)*(1-IF(L$6=01_Annahmen!$O$32,01_Annahmen!$K$32,IF(L$6=01_Annahmen!$O$32+1,(01_Annahmen!$K$32+01_Annahmen!$I$32)/2,01_Annahmen!$I$32))-01_Annahmen!$J$32))</f>
        <v>1958019.00369835</v>
      </c>
      <c r="M10" s="29" t="n">
        <f aca="false">IF(M$6&lt;01_Annahmen!$O$32,0,(1-$C$4*01_Annahmen!$P$32)*01_Annahmen!$H$32*(1+01_Annahmen!$L$32)^(M$6-01_Annahmen!$O$32)*(1-IF(M$6=01_Annahmen!$O$32,01_Annahmen!$K$32,IF(M$6=01_Annahmen!$O$32+1,(01_Annahmen!$K$32+01_Annahmen!$I$32)/2,01_Annahmen!$I$32))-01_Annahmen!$J$32))</f>
        <v>1972899.94812645</v>
      </c>
      <c r="N10" s="29" t="n">
        <f aca="false">IF(N$6&lt;01_Annahmen!$O$32,0,(1-$C$4*01_Annahmen!$P$32)*01_Annahmen!$H$32*(1+01_Annahmen!$L$32)^(N$6-01_Annahmen!$O$32)*(1-IF(N$6=01_Annahmen!$O$32,01_Annahmen!$K$32,IF(N$6=01_Annahmen!$O$32+1,(01_Annahmen!$K$32+01_Annahmen!$I$32)/2,01_Annahmen!$I$32))-01_Annahmen!$J$32))</f>
        <v>1987893.98773221</v>
      </c>
      <c r="O10" s="29" t="n">
        <f aca="false">IF(O$6&lt;01_Annahmen!$O$32,0,(1-$C$4*01_Annahmen!$P$32)*01_Annahmen!$H$32*(1+01_Annahmen!$L$32)^(O$6-01_Annahmen!$O$32)*(1-IF(O$6=01_Annahmen!$O$32,01_Annahmen!$K$32,IF(O$6=01_Annahmen!$O$32+1,(01_Annahmen!$K$32+01_Annahmen!$I$32)/2,01_Annahmen!$I$32))-01_Annahmen!$J$32))</f>
        <v>2003001.98203898</v>
      </c>
      <c r="P10" s="29" t="n">
        <f aca="false">IF(P$6&lt;01_Annahmen!$O$32,0,(1-$C$4*01_Annahmen!$P$32)*01_Annahmen!$H$32*(1+01_Annahmen!$L$32)^(P$6-01_Annahmen!$O$32)*(1-IF(P$6=01_Annahmen!$O$32,01_Annahmen!$K$32,IF(P$6=01_Annahmen!$O$32+1,(01_Annahmen!$K$32+01_Annahmen!$I$32)/2,01_Annahmen!$I$32))-01_Annahmen!$J$32))</f>
        <v>2018224.79710248</v>
      </c>
      <c r="Q10" s="29" t="n">
        <f aca="false">IF(Q$6&lt;01_Annahmen!$O$32,0,(1-$C$4*01_Annahmen!$P$32)*01_Annahmen!$H$32*(1+01_Annahmen!$L$32)^(Q$6-01_Annahmen!$O$32)*(1-IF(Q$6=01_Annahmen!$O$32,01_Annahmen!$K$32,IF(Q$6=01_Annahmen!$O$32+1,(01_Annahmen!$K$32+01_Annahmen!$I$32)/2,01_Annahmen!$I$32))-01_Annahmen!$J$32))</f>
        <v>2033563.30556046</v>
      </c>
      <c r="R10" s="29" t="n">
        <f aca="false">IF(R$6&lt;01_Annahmen!$O$32,0,(1-$C$4*01_Annahmen!$P$32)*01_Annahmen!$H$32*(1+01_Annahmen!$L$32)^(R$6-01_Annahmen!$O$32)*(1-IF(R$6=01_Annahmen!$O$32,01_Annahmen!$K$32,IF(R$6=01_Annahmen!$O$32+1,(01_Annahmen!$K$32+01_Annahmen!$I$32)/2,01_Annahmen!$I$32))-01_Annahmen!$J$32))</f>
        <v>2049018.38668271</v>
      </c>
      <c r="S10" s="29" t="n">
        <f aca="false">IF(S$6&lt;01_Annahmen!$O$32,0,(1-$C$4*01_Annahmen!$P$32)*01_Annahmen!$H$32*(1+01_Annahmen!$L$32)^(S$6-01_Annahmen!$O$32)*(1-IF(S$6=01_Annahmen!$O$32,01_Annahmen!$K$32,IF(S$6=01_Annahmen!$O$32+1,(01_Annahmen!$K$32+01_Annahmen!$I$32)/2,01_Annahmen!$I$32))-01_Annahmen!$J$32))</f>
        <v>2064590.9264215</v>
      </c>
    </row>
    <row r="11" customFormat="false" ht="15" hidden="false" customHeight="false" outlineLevel="0" collapsed="false">
      <c r="B11" s="7" t="s">
        <v>159</v>
      </c>
      <c r="C11" s="7" t="s">
        <v>109</v>
      </c>
      <c r="D11" s="29" t="n">
        <f aca="false">SUM(E11:S11)</f>
        <v>0</v>
      </c>
      <c r="E11" s="29" t="n">
        <f aca="false">IF(E$6&lt;01_Annahmen!$O$33,0,(1-$C$4*01_Annahmen!$P$33)*01_Annahmen!$H$33*(1+01_Annahmen!$L$33)^(E$6-01_Annahmen!$O$33)*(1-IF(E$6=01_Annahmen!$O$33,01_Annahmen!$K$33,IF(E$6=01_Annahmen!$O$33+1,(01_Annahmen!$K$33+01_Annahmen!$I$33)/2,01_Annahmen!$I$33))-01_Annahmen!$J$33))</f>
        <v>0</v>
      </c>
      <c r="F11" s="29" t="n">
        <f aca="false">IF(F$6&lt;01_Annahmen!$O$33,0,(1-$C$4*01_Annahmen!$P$33)*01_Annahmen!$H$33*(1+01_Annahmen!$L$33)^(F$6-01_Annahmen!$O$33)*(1-IF(F$6=01_Annahmen!$O$33,01_Annahmen!$K$33,IF(F$6=01_Annahmen!$O$33+1,(01_Annahmen!$K$33+01_Annahmen!$I$33)/2,01_Annahmen!$I$33))-01_Annahmen!$J$33))</f>
        <v>0</v>
      </c>
      <c r="G11" s="29" t="n">
        <f aca="false">IF(G$6&lt;01_Annahmen!$O$33,0,(1-$C$4*01_Annahmen!$P$33)*01_Annahmen!$H$33*(1+01_Annahmen!$L$33)^(G$6-01_Annahmen!$O$33)*(1-IF(G$6=01_Annahmen!$O$33,01_Annahmen!$K$33,IF(G$6=01_Annahmen!$O$33+1,(01_Annahmen!$K$33+01_Annahmen!$I$33)/2,01_Annahmen!$I$33))-01_Annahmen!$J$33))</f>
        <v>0</v>
      </c>
      <c r="H11" s="29" t="n">
        <f aca="false">IF(H$6&lt;01_Annahmen!$O$33,0,(1-$C$4*01_Annahmen!$P$33)*01_Annahmen!$H$33*(1+01_Annahmen!$L$33)^(H$6-01_Annahmen!$O$33)*(1-IF(H$6=01_Annahmen!$O$33,01_Annahmen!$K$33,IF(H$6=01_Annahmen!$O$33+1,(01_Annahmen!$K$33+01_Annahmen!$I$33)/2,01_Annahmen!$I$33))-01_Annahmen!$J$33))</f>
        <v>0</v>
      </c>
      <c r="I11" s="29" t="n">
        <f aca="false">IF(I$6&lt;01_Annahmen!$O$33,0,(1-$C$4*01_Annahmen!$P$33)*01_Annahmen!$H$33*(1+01_Annahmen!$L$33)^(I$6-01_Annahmen!$O$33)*(1-IF(I$6=01_Annahmen!$O$33,01_Annahmen!$K$33,IF(I$6=01_Annahmen!$O$33+1,(01_Annahmen!$K$33+01_Annahmen!$I$33)/2,01_Annahmen!$I$33))-01_Annahmen!$J$33))</f>
        <v>0</v>
      </c>
      <c r="J11" s="29" t="n">
        <f aca="false">IF(J$6&lt;01_Annahmen!$O$33,0,(1-$C$4*01_Annahmen!$P$33)*01_Annahmen!$H$33*(1+01_Annahmen!$L$33)^(J$6-01_Annahmen!$O$33)*(1-IF(J$6=01_Annahmen!$O$33,01_Annahmen!$K$33,IF(J$6=01_Annahmen!$O$33+1,(01_Annahmen!$K$33+01_Annahmen!$I$33)/2,01_Annahmen!$I$33))-01_Annahmen!$J$33))</f>
        <v>0</v>
      </c>
      <c r="K11" s="29" t="n">
        <f aca="false">IF(K$6&lt;01_Annahmen!$O$33,0,(1-$C$4*01_Annahmen!$P$33)*01_Annahmen!$H$33*(1+01_Annahmen!$L$33)^(K$6-01_Annahmen!$O$33)*(1-IF(K$6=01_Annahmen!$O$33,01_Annahmen!$K$33,IF(K$6=01_Annahmen!$O$33+1,(01_Annahmen!$K$33+01_Annahmen!$I$33)/2,01_Annahmen!$I$33))-01_Annahmen!$J$33))</f>
        <v>0</v>
      </c>
      <c r="L11" s="29" t="n">
        <f aca="false">IF(L$6&lt;01_Annahmen!$O$33,0,(1-$C$4*01_Annahmen!$P$33)*01_Annahmen!$H$33*(1+01_Annahmen!$L$33)^(L$6-01_Annahmen!$O$33)*(1-IF(L$6=01_Annahmen!$O$33,01_Annahmen!$K$33,IF(L$6=01_Annahmen!$O$33+1,(01_Annahmen!$K$33+01_Annahmen!$I$33)/2,01_Annahmen!$I$33))-01_Annahmen!$J$33))</f>
        <v>0</v>
      </c>
      <c r="M11" s="29" t="n">
        <f aca="false">IF(M$6&lt;01_Annahmen!$O$33,0,(1-$C$4*01_Annahmen!$P$33)*01_Annahmen!$H$33*(1+01_Annahmen!$L$33)^(M$6-01_Annahmen!$O$33)*(1-IF(M$6=01_Annahmen!$O$33,01_Annahmen!$K$33,IF(M$6=01_Annahmen!$O$33+1,(01_Annahmen!$K$33+01_Annahmen!$I$33)/2,01_Annahmen!$I$33))-01_Annahmen!$J$33))</f>
        <v>0</v>
      </c>
      <c r="N11" s="29" t="n">
        <f aca="false">IF(N$6&lt;01_Annahmen!$O$33,0,(1-$C$4*01_Annahmen!$P$33)*01_Annahmen!$H$33*(1+01_Annahmen!$L$33)^(N$6-01_Annahmen!$O$33)*(1-IF(N$6=01_Annahmen!$O$33,01_Annahmen!$K$33,IF(N$6=01_Annahmen!$O$33+1,(01_Annahmen!$K$33+01_Annahmen!$I$33)/2,01_Annahmen!$I$33))-01_Annahmen!$J$33))</f>
        <v>0</v>
      </c>
      <c r="O11" s="29" t="n">
        <f aca="false">IF(O$6&lt;01_Annahmen!$O$33,0,(1-$C$4*01_Annahmen!$P$33)*01_Annahmen!$H$33*(1+01_Annahmen!$L$33)^(O$6-01_Annahmen!$O$33)*(1-IF(O$6=01_Annahmen!$O$33,01_Annahmen!$K$33,IF(O$6=01_Annahmen!$O$33+1,(01_Annahmen!$K$33+01_Annahmen!$I$33)/2,01_Annahmen!$I$33))-01_Annahmen!$J$33))</f>
        <v>0</v>
      </c>
      <c r="P11" s="29" t="n">
        <f aca="false">IF(P$6&lt;01_Annahmen!$O$33,0,(1-$C$4*01_Annahmen!$P$33)*01_Annahmen!$H$33*(1+01_Annahmen!$L$33)^(P$6-01_Annahmen!$O$33)*(1-IF(P$6=01_Annahmen!$O$33,01_Annahmen!$K$33,IF(P$6=01_Annahmen!$O$33+1,(01_Annahmen!$K$33+01_Annahmen!$I$33)/2,01_Annahmen!$I$33))-01_Annahmen!$J$33))</f>
        <v>0</v>
      </c>
      <c r="Q11" s="29" t="n">
        <f aca="false">IF(Q$6&lt;01_Annahmen!$O$33,0,(1-$C$4*01_Annahmen!$P$33)*01_Annahmen!$H$33*(1+01_Annahmen!$L$33)^(Q$6-01_Annahmen!$O$33)*(1-IF(Q$6=01_Annahmen!$O$33,01_Annahmen!$K$33,IF(Q$6=01_Annahmen!$O$33+1,(01_Annahmen!$K$33+01_Annahmen!$I$33)/2,01_Annahmen!$I$33))-01_Annahmen!$J$33))</f>
        <v>0</v>
      </c>
      <c r="R11" s="29" t="n">
        <f aca="false">IF(R$6&lt;01_Annahmen!$O$33,0,(1-$C$4*01_Annahmen!$P$33)*01_Annahmen!$H$33*(1+01_Annahmen!$L$33)^(R$6-01_Annahmen!$O$33)*(1-IF(R$6=01_Annahmen!$O$33,01_Annahmen!$K$33,IF(R$6=01_Annahmen!$O$33+1,(01_Annahmen!$K$33+01_Annahmen!$I$33)/2,01_Annahmen!$I$33))-01_Annahmen!$J$33))</f>
        <v>0</v>
      </c>
      <c r="S11" s="29" t="n">
        <f aca="false">IF(S$6&lt;01_Annahmen!$O$33,0,(1-$C$4*01_Annahmen!$P$33)*01_Annahmen!$H$33*(1+01_Annahmen!$L$33)^(S$6-01_Annahmen!$O$33)*(1-IF(S$6=01_Annahmen!$O$33,01_Annahmen!$K$33,IF(S$6=01_Annahmen!$O$33+1,(01_Annahmen!$K$33+01_Annahmen!$I$33)/2,01_Annahmen!$I$33))-01_Annahmen!$J$33))</f>
        <v>0</v>
      </c>
    </row>
    <row r="12" customFormat="false" ht="15" hidden="false" customHeight="false" outlineLevel="0" collapsed="false">
      <c r="B12" s="5" t="s">
        <v>160</v>
      </c>
      <c r="D12" s="34" t="n">
        <f aca="false">SUM(D8:D11)</f>
        <v>37962047.4262331</v>
      </c>
      <c r="E12" s="34" t="n">
        <f aca="false">SUM(E8:E11)</f>
        <v>0</v>
      </c>
      <c r="F12" s="34" t="n">
        <f aca="false">SUM(F8:F11)</f>
        <v>0</v>
      </c>
      <c r="G12" s="34" t="n">
        <f aca="false">SUM(G8:G11)</f>
        <v>0</v>
      </c>
      <c r="H12" s="34" t="n">
        <f aca="false">SUM(H8:H11)</f>
        <v>0</v>
      </c>
      <c r="I12" s="34" t="n">
        <f aca="false">SUM(I8:I11)</f>
        <v>1830512.617</v>
      </c>
      <c r="J12" s="34" t="n">
        <f aca="false">SUM(J8:J11)</f>
        <v>2707550.70888924</v>
      </c>
      <c r="K12" s="34" t="n">
        <f aca="false">SUM(K8:K11)</f>
        <v>3598304.25651308</v>
      </c>
      <c r="L12" s="34" t="n">
        <f aca="false">SUM(L8:L11)</f>
        <v>3626644.40123564</v>
      </c>
      <c r="M12" s="34" t="n">
        <f aca="false">SUM(M8:M11)</f>
        <v>3655208.07392356</v>
      </c>
      <c r="N12" s="34" t="n">
        <f aca="false">SUM(N8:N11)</f>
        <v>3683997.04016085</v>
      </c>
      <c r="O12" s="34" t="n">
        <f aca="false">SUM(O8:O11)</f>
        <v>3713013.07949754</v>
      </c>
      <c r="P12" s="34" t="n">
        <f aca="false">SUM(P8:P11)</f>
        <v>3742257.98556019</v>
      </c>
      <c r="Q12" s="34" t="n">
        <f aca="false">SUM(Q8:Q11)</f>
        <v>3771733.56616352</v>
      </c>
      <c r="R12" s="34" t="n">
        <f aca="false">SUM(R8:R11)</f>
        <v>3801441.64342273</v>
      </c>
      <c r="S12" s="34" t="n">
        <f aca="false">SUM(S8:S11)</f>
        <v>3831384.05386678</v>
      </c>
    </row>
    <row r="13" customFormat="false" ht="15" hidden="false" customHeight="false" outlineLevel="0" collapsed="false">
      <c r="B13" s="7" t="s">
        <v>161</v>
      </c>
      <c r="C13" s="7" t="s">
        <v>103</v>
      </c>
      <c r="D13" s="29" t="n">
        <f aca="false">SUM(E13:S13)</f>
        <v>29250000</v>
      </c>
      <c r="E13" s="29" t="n">
        <f aca="false">IF(E$6=01_Annahmen!$S$30,$C$4*01_Annahmen!$P$30*01_Annahmen!$Q$30*(1-01_Annahmen!$R$30),0)</f>
        <v>0</v>
      </c>
      <c r="F13" s="29" t="n">
        <f aca="false">IF(F$6=01_Annahmen!$S$30,$C$4*01_Annahmen!$P$30*01_Annahmen!$Q$30*(1-01_Annahmen!$R$30),0)</f>
        <v>0</v>
      </c>
      <c r="G13" s="29" t="n">
        <f aca="false">IF(G$6=01_Annahmen!$S$30,$C$4*01_Annahmen!$P$30*01_Annahmen!$Q$30*(1-01_Annahmen!$R$30),0)</f>
        <v>0</v>
      </c>
      <c r="H13" s="29" t="n">
        <f aca="false">IF(H$6=01_Annahmen!$S$30,$C$4*01_Annahmen!$P$30*01_Annahmen!$Q$30*(1-01_Annahmen!$R$30),0)</f>
        <v>29250000</v>
      </c>
      <c r="I13" s="29" t="n">
        <f aca="false">IF(I$6=01_Annahmen!$S$30,$C$4*01_Annahmen!$P$30*01_Annahmen!$Q$30*(1-01_Annahmen!$R$30),0)</f>
        <v>0</v>
      </c>
      <c r="J13" s="29" t="n">
        <f aca="false">IF(J$6=01_Annahmen!$S$30,$C$4*01_Annahmen!$P$30*01_Annahmen!$Q$30*(1-01_Annahmen!$R$30),0)</f>
        <v>0</v>
      </c>
      <c r="K13" s="29" t="n">
        <f aca="false">IF(K$6=01_Annahmen!$S$30,$C$4*01_Annahmen!$P$30*01_Annahmen!$Q$30*(1-01_Annahmen!$R$30),0)</f>
        <v>0</v>
      </c>
      <c r="L13" s="29" t="n">
        <f aca="false">IF(L$6=01_Annahmen!$S$30,$C$4*01_Annahmen!$P$30*01_Annahmen!$Q$30*(1-01_Annahmen!$R$30),0)</f>
        <v>0</v>
      </c>
      <c r="M13" s="29" t="n">
        <f aca="false">IF(M$6=01_Annahmen!$S$30,$C$4*01_Annahmen!$P$30*01_Annahmen!$Q$30*(1-01_Annahmen!$R$30),0)</f>
        <v>0</v>
      </c>
      <c r="N13" s="29" t="n">
        <f aca="false">IF(N$6=01_Annahmen!$S$30,$C$4*01_Annahmen!$P$30*01_Annahmen!$Q$30*(1-01_Annahmen!$R$30),0)</f>
        <v>0</v>
      </c>
      <c r="O13" s="29" t="n">
        <f aca="false">IF(O$6=01_Annahmen!$S$30,$C$4*01_Annahmen!$P$30*01_Annahmen!$Q$30*(1-01_Annahmen!$R$30),0)</f>
        <v>0</v>
      </c>
      <c r="P13" s="29" t="n">
        <f aca="false">IF(P$6=01_Annahmen!$S$30,$C$4*01_Annahmen!$P$30*01_Annahmen!$Q$30*(1-01_Annahmen!$R$30),0)</f>
        <v>0</v>
      </c>
      <c r="Q13" s="29" t="n">
        <f aca="false">IF(Q$6=01_Annahmen!$S$30,$C$4*01_Annahmen!$P$30*01_Annahmen!$Q$30*(1-01_Annahmen!$R$30),0)</f>
        <v>0</v>
      </c>
      <c r="R13" s="29" t="n">
        <f aca="false">IF(R$6=01_Annahmen!$S$30,$C$4*01_Annahmen!$P$30*01_Annahmen!$Q$30*(1-01_Annahmen!$R$30),0)</f>
        <v>0</v>
      </c>
      <c r="S13" s="29" t="n">
        <f aca="false">IF(S$6=01_Annahmen!$S$30,$C$4*01_Annahmen!$P$30*01_Annahmen!$Q$30*(1-01_Annahmen!$R$30),0)</f>
        <v>0</v>
      </c>
    </row>
    <row r="14" customFormat="false" ht="15" hidden="false" customHeight="false" outlineLevel="0" collapsed="false">
      <c r="B14" s="7" t="s">
        <v>161</v>
      </c>
      <c r="C14" s="7" t="s">
        <v>105</v>
      </c>
      <c r="D14" s="29" t="n">
        <f aca="false">SUM(E14:S14)</f>
        <v>0</v>
      </c>
      <c r="E14" s="29" t="n">
        <f aca="false">IF(E$6=01_Annahmen!$S$31,$C$4*01_Annahmen!$P$31*01_Annahmen!$Q$31*(1-01_Annahmen!$R$31),0)</f>
        <v>0</v>
      </c>
      <c r="F14" s="29" t="n">
        <f aca="false">IF(F$6=01_Annahmen!$S$31,$C$4*01_Annahmen!$P$31*01_Annahmen!$Q$31*(1-01_Annahmen!$R$31),0)</f>
        <v>0</v>
      </c>
      <c r="G14" s="29" t="n">
        <f aca="false">IF(G$6=01_Annahmen!$S$31,$C$4*01_Annahmen!$P$31*01_Annahmen!$Q$31*(1-01_Annahmen!$R$31),0)</f>
        <v>0</v>
      </c>
      <c r="H14" s="29" t="n">
        <f aca="false">IF(H$6=01_Annahmen!$S$31,$C$4*01_Annahmen!$P$31*01_Annahmen!$Q$31*(1-01_Annahmen!$R$31),0)</f>
        <v>0</v>
      </c>
      <c r="I14" s="29" t="n">
        <f aca="false">IF(I$6=01_Annahmen!$S$31,$C$4*01_Annahmen!$P$31*01_Annahmen!$Q$31*(1-01_Annahmen!$R$31),0)</f>
        <v>0</v>
      </c>
      <c r="J14" s="29" t="n">
        <f aca="false">IF(J$6=01_Annahmen!$S$31,$C$4*01_Annahmen!$P$31*01_Annahmen!$Q$31*(1-01_Annahmen!$R$31),0)</f>
        <v>0</v>
      </c>
      <c r="K14" s="29" t="n">
        <f aca="false">IF(K$6=01_Annahmen!$S$31,$C$4*01_Annahmen!$P$31*01_Annahmen!$Q$31*(1-01_Annahmen!$R$31),0)</f>
        <v>0</v>
      </c>
      <c r="L14" s="29" t="n">
        <f aca="false">IF(L$6=01_Annahmen!$S$31,$C$4*01_Annahmen!$P$31*01_Annahmen!$Q$31*(1-01_Annahmen!$R$31),0)</f>
        <v>0</v>
      </c>
      <c r="M14" s="29" t="n">
        <f aca="false">IF(M$6=01_Annahmen!$S$31,$C$4*01_Annahmen!$P$31*01_Annahmen!$Q$31*(1-01_Annahmen!$R$31),0)</f>
        <v>0</v>
      </c>
      <c r="N14" s="29" t="n">
        <f aca="false">IF(N$6=01_Annahmen!$S$31,$C$4*01_Annahmen!$P$31*01_Annahmen!$Q$31*(1-01_Annahmen!$R$31),0)</f>
        <v>0</v>
      </c>
      <c r="O14" s="29" t="n">
        <f aca="false">IF(O$6=01_Annahmen!$S$31,$C$4*01_Annahmen!$P$31*01_Annahmen!$Q$31*(1-01_Annahmen!$R$31),0)</f>
        <v>0</v>
      </c>
      <c r="P14" s="29" t="n">
        <f aca="false">IF(P$6=01_Annahmen!$S$31,$C$4*01_Annahmen!$P$31*01_Annahmen!$Q$31*(1-01_Annahmen!$R$31),0)</f>
        <v>0</v>
      </c>
      <c r="Q14" s="29" t="n">
        <f aca="false">IF(Q$6=01_Annahmen!$S$31,$C$4*01_Annahmen!$P$31*01_Annahmen!$Q$31*(1-01_Annahmen!$R$31),0)</f>
        <v>0</v>
      </c>
      <c r="R14" s="29" t="n">
        <f aca="false">IF(R$6=01_Annahmen!$S$31,$C$4*01_Annahmen!$P$31*01_Annahmen!$Q$31*(1-01_Annahmen!$R$31),0)</f>
        <v>0</v>
      </c>
      <c r="S14" s="29" t="n">
        <f aca="false">IF(S$6=01_Annahmen!$S$31,$C$4*01_Annahmen!$P$31*01_Annahmen!$Q$31*(1-01_Annahmen!$R$31),0)</f>
        <v>0</v>
      </c>
    </row>
    <row r="15" customFormat="false" ht="15" hidden="false" customHeight="false" outlineLevel="0" collapsed="false">
      <c r="B15" s="7" t="s">
        <v>161</v>
      </c>
      <c r="C15" s="7" t="s">
        <v>107</v>
      </c>
      <c r="D15" s="29" t="n">
        <f aca="false">SUM(E15:S15)</f>
        <v>0</v>
      </c>
      <c r="E15" s="29" t="n">
        <f aca="false">IF(E$6=01_Annahmen!$S$32,$C$4*01_Annahmen!$P$32*01_Annahmen!$Q$32*(1-01_Annahmen!$R$32),0)</f>
        <v>0</v>
      </c>
      <c r="F15" s="29" t="n">
        <f aca="false">IF(F$6=01_Annahmen!$S$32,$C$4*01_Annahmen!$P$32*01_Annahmen!$Q$32*(1-01_Annahmen!$R$32),0)</f>
        <v>0</v>
      </c>
      <c r="G15" s="29" t="n">
        <f aca="false">IF(G$6=01_Annahmen!$S$32,$C$4*01_Annahmen!$P$32*01_Annahmen!$Q$32*(1-01_Annahmen!$R$32),0)</f>
        <v>0</v>
      </c>
      <c r="H15" s="29" t="n">
        <f aca="false">IF(H$6=01_Annahmen!$S$32,$C$4*01_Annahmen!$P$32*01_Annahmen!$Q$32*(1-01_Annahmen!$R$32),0)</f>
        <v>0</v>
      </c>
      <c r="I15" s="29" t="n">
        <f aca="false">IF(I$6=01_Annahmen!$S$32,$C$4*01_Annahmen!$P$32*01_Annahmen!$Q$32*(1-01_Annahmen!$R$32),0)</f>
        <v>0</v>
      </c>
      <c r="J15" s="29" t="n">
        <f aca="false">IF(J$6=01_Annahmen!$S$32,$C$4*01_Annahmen!$P$32*01_Annahmen!$Q$32*(1-01_Annahmen!$R$32),0)</f>
        <v>0</v>
      </c>
      <c r="K15" s="29" t="n">
        <f aca="false">IF(K$6=01_Annahmen!$S$32,$C$4*01_Annahmen!$P$32*01_Annahmen!$Q$32*(1-01_Annahmen!$R$32),0)</f>
        <v>0</v>
      </c>
      <c r="L15" s="29" t="n">
        <f aca="false">IF(L$6=01_Annahmen!$S$32,$C$4*01_Annahmen!$P$32*01_Annahmen!$Q$32*(1-01_Annahmen!$R$32),0)</f>
        <v>0</v>
      </c>
      <c r="M15" s="29" t="n">
        <f aca="false">IF(M$6=01_Annahmen!$S$32,$C$4*01_Annahmen!$P$32*01_Annahmen!$Q$32*(1-01_Annahmen!$R$32),0)</f>
        <v>0</v>
      </c>
      <c r="N15" s="29" t="n">
        <f aca="false">IF(N$6=01_Annahmen!$S$32,$C$4*01_Annahmen!$P$32*01_Annahmen!$Q$32*(1-01_Annahmen!$R$32),0)</f>
        <v>0</v>
      </c>
      <c r="O15" s="29" t="n">
        <f aca="false">IF(O$6=01_Annahmen!$S$32,$C$4*01_Annahmen!$P$32*01_Annahmen!$Q$32*(1-01_Annahmen!$R$32),0)</f>
        <v>0</v>
      </c>
      <c r="P15" s="29" t="n">
        <f aca="false">IF(P$6=01_Annahmen!$S$32,$C$4*01_Annahmen!$P$32*01_Annahmen!$Q$32*(1-01_Annahmen!$R$32),0)</f>
        <v>0</v>
      </c>
      <c r="Q15" s="29" t="n">
        <f aca="false">IF(Q$6=01_Annahmen!$S$32,$C$4*01_Annahmen!$P$32*01_Annahmen!$Q$32*(1-01_Annahmen!$R$32),0)</f>
        <v>0</v>
      </c>
      <c r="R15" s="29" t="n">
        <f aca="false">IF(R$6=01_Annahmen!$S$32,$C$4*01_Annahmen!$P$32*01_Annahmen!$Q$32*(1-01_Annahmen!$R$32),0)</f>
        <v>0</v>
      </c>
      <c r="S15" s="29" t="n">
        <f aca="false">IF(S$6=01_Annahmen!$S$32,$C$4*01_Annahmen!$P$32*01_Annahmen!$Q$32*(1-01_Annahmen!$R$32),0)</f>
        <v>0</v>
      </c>
    </row>
    <row r="16" customFormat="false" ht="15" hidden="false" customHeight="false" outlineLevel="0" collapsed="false">
      <c r="B16" s="7" t="s">
        <v>161</v>
      </c>
      <c r="C16" s="7" t="s">
        <v>109</v>
      </c>
      <c r="D16" s="29" t="n">
        <f aca="false">SUM(E16:S16)</f>
        <v>77000000</v>
      </c>
      <c r="E16" s="29" t="n">
        <f aca="false">IF(E$6=01_Annahmen!$S$33,$C$4*01_Annahmen!$P$33*01_Annahmen!$Q$33*(1-01_Annahmen!$R$33),0)</f>
        <v>0</v>
      </c>
      <c r="F16" s="29" t="n">
        <f aca="false">IF(F$6=01_Annahmen!$S$33,$C$4*01_Annahmen!$P$33*01_Annahmen!$Q$33*(1-01_Annahmen!$R$33),0)</f>
        <v>0</v>
      </c>
      <c r="G16" s="29" t="n">
        <f aca="false">IF(G$6=01_Annahmen!$S$33,$C$4*01_Annahmen!$P$33*01_Annahmen!$Q$33*(1-01_Annahmen!$R$33),0)</f>
        <v>0</v>
      </c>
      <c r="H16" s="29" t="n">
        <f aca="false">IF(H$6=01_Annahmen!$S$33,$C$4*01_Annahmen!$P$33*01_Annahmen!$Q$33*(1-01_Annahmen!$R$33),0)</f>
        <v>0</v>
      </c>
      <c r="I16" s="29" t="n">
        <f aca="false">IF(I$6=01_Annahmen!$S$33,$C$4*01_Annahmen!$P$33*01_Annahmen!$Q$33*(1-01_Annahmen!$R$33),0)</f>
        <v>0</v>
      </c>
      <c r="J16" s="29" t="n">
        <f aca="false">IF(J$6=01_Annahmen!$S$33,$C$4*01_Annahmen!$P$33*01_Annahmen!$Q$33*(1-01_Annahmen!$R$33),0)</f>
        <v>77000000</v>
      </c>
      <c r="K16" s="29" t="n">
        <f aca="false">IF(K$6=01_Annahmen!$S$33,$C$4*01_Annahmen!$P$33*01_Annahmen!$Q$33*(1-01_Annahmen!$R$33),0)</f>
        <v>0</v>
      </c>
      <c r="L16" s="29" t="n">
        <f aca="false">IF(L$6=01_Annahmen!$S$33,$C$4*01_Annahmen!$P$33*01_Annahmen!$Q$33*(1-01_Annahmen!$R$33),0)</f>
        <v>0</v>
      </c>
      <c r="M16" s="29" t="n">
        <f aca="false">IF(M$6=01_Annahmen!$S$33,$C$4*01_Annahmen!$P$33*01_Annahmen!$Q$33*(1-01_Annahmen!$R$33),0)</f>
        <v>0</v>
      </c>
      <c r="N16" s="29" t="n">
        <f aca="false">IF(N$6=01_Annahmen!$S$33,$C$4*01_Annahmen!$P$33*01_Annahmen!$Q$33*(1-01_Annahmen!$R$33),0)</f>
        <v>0</v>
      </c>
      <c r="O16" s="29" t="n">
        <f aca="false">IF(O$6=01_Annahmen!$S$33,$C$4*01_Annahmen!$P$33*01_Annahmen!$Q$33*(1-01_Annahmen!$R$33),0)</f>
        <v>0</v>
      </c>
      <c r="P16" s="29" t="n">
        <f aca="false">IF(P$6=01_Annahmen!$S$33,$C$4*01_Annahmen!$P$33*01_Annahmen!$Q$33*(1-01_Annahmen!$R$33),0)</f>
        <v>0</v>
      </c>
      <c r="Q16" s="29" t="n">
        <f aca="false">IF(Q$6=01_Annahmen!$S$33,$C$4*01_Annahmen!$P$33*01_Annahmen!$Q$33*(1-01_Annahmen!$R$33),0)</f>
        <v>0</v>
      </c>
      <c r="R16" s="29" t="n">
        <f aca="false">IF(R$6=01_Annahmen!$S$33,$C$4*01_Annahmen!$P$33*01_Annahmen!$Q$33*(1-01_Annahmen!$R$33),0)</f>
        <v>0</v>
      </c>
      <c r="S16" s="29" t="n">
        <f aca="false">IF(S$6=01_Annahmen!$S$33,$C$4*01_Annahmen!$P$33*01_Annahmen!$Q$33*(1-01_Annahmen!$R$33),0)</f>
        <v>0</v>
      </c>
    </row>
    <row r="17" customFormat="false" ht="15" hidden="false" customHeight="false" outlineLevel="0" collapsed="false">
      <c r="B17" s="5" t="s">
        <v>162</v>
      </c>
      <c r="D17" s="34" t="n">
        <f aca="false">SUM(D13:D16)</f>
        <v>106250000</v>
      </c>
      <c r="E17" s="34" t="n">
        <f aca="false">SUM(E13:E16)</f>
        <v>0</v>
      </c>
      <c r="F17" s="34" t="n">
        <f aca="false">SUM(F13:F16)</f>
        <v>0</v>
      </c>
      <c r="G17" s="34" t="n">
        <f aca="false">SUM(G13:G16)</f>
        <v>0</v>
      </c>
      <c r="H17" s="34" t="n">
        <f aca="false">SUM(H13:H16)</f>
        <v>29250000</v>
      </c>
      <c r="I17" s="34" t="n">
        <f aca="false">SUM(I13:I16)</f>
        <v>0</v>
      </c>
      <c r="J17" s="34" t="n">
        <f aca="false">SUM(J13:J16)</f>
        <v>77000000</v>
      </c>
      <c r="K17" s="34" t="n">
        <f aca="false">SUM(K13:K16)</f>
        <v>0</v>
      </c>
      <c r="L17" s="34" t="n">
        <f aca="false">SUM(L13:L16)</f>
        <v>0</v>
      </c>
      <c r="M17" s="34" t="n">
        <f aca="false">SUM(M13:M16)</f>
        <v>0</v>
      </c>
      <c r="N17" s="34" t="n">
        <f aca="false">SUM(N13:N16)</f>
        <v>0</v>
      </c>
      <c r="O17" s="34" t="n">
        <f aca="false">SUM(O13:O16)</f>
        <v>0</v>
      </c>
      <c r="P17" s="34" t="n">
        <f aca="false">SUM(P13:P16)</f>
        <v>0</v>
      </c>
      <c r="Q17" s="34" t="n">
        <f aca="false">SUM(Q13:Q16)</f>
        <v>0</v>
      </c>
      <c r="R17" s="34" t="n">
        <f aca="false">SUM(R13:R16)</f>
        <v>0</v>
      </c>
      <c r="S17" s="34" t="n">
        <f aca="false">SUM(S13:S16)</f>
        <v>0</v>
      </c>
    </row>
    <row r="18" customFormat="false" ht="15" hidden="false" customHeight="false" outlineLevel="0" collapsed="false">
      <c r="B18" s="7" t="s">
        <v>163</v>
      </c>
      <c r="D18" s="29" t="n">
        <f aca="false">SUM(E18:S18)</f>
        <v>-117670859</v>
      </c>
      <c r="E18" s="8" t="n">
        <f aca="false">-02_Investitionen!E16</f>
        <v>-1262500</v>
      </c>
      <c r="F18" s="8" t="n">
        <f aca="false">-02_Investitionen!F16</f>
        <v>-6375000</v>
      </c>
      <c r="G18" s="8" t="n">
        <f aca="false">-02_Investitionen!G16</f>
        <v>-36242361.5</v>
      </c>
      <c r="H18" s="8" t="n">
        <f aca="false">-02_Investitionen!H16</f>
        <v>-30381791.7</v>
      </c>
      <c r="I18" s="8" t="n">
        <f aca="false">-02_Investitionen!I16</f>
        <v>-23667789.3</v>
      </c>
      <c r="J18" s="8" t="n">
        <f aca="false">-02_Investitionen!J16</f>
        <v>-19741416.5</v>
      </c>
      <c r="K18" s="8" t="n">
        <f aca="false">-02_Investitionen!K16</f>
        <v>-0</v>
      </c>
      <c r="L18" s="8" t="n">
        <f aca="false">-02_Investitionen!L16</f>
        <v>-0</v>
      </c>
      <c r="M18" s="8" t="n">
        <f aca="false">-02_Investitionen!M16</f>
        <v>-0</v>
      </c>
      <c r="N18" s="8" t="n">
        <f aca="false">-02_Investitionen!N16</f>
        <v>-0</v>
      </c>
      <c r="O18" s="8" t="n">
        <f aca="false">-02_Investitionen!O16</f>
        <v>-0</v>
      </c>
      <c r="P18" s="8" t="n">
        <f aca="false">-02_Investitionen!P16</f>
        <v>-0</v>
      </c>
      <c r="Q18" s="8" t="n">
        <f aca="false">-02_Investitionen!Q16</f>
        <v>-0</v>
      </c>
      <c r="R18" s="8" t="n">
        <f aca="false">-02_Investitionen!R16</f>
        <v>-0</v>
      </c>
      <c r="S18" s="8" t="n">
        <f aca="false">-02_Investitionen!S16</f>
        <v>-0</v>
      </c>
    </row>
    <row r="19" customFormat="false" ht="15" hidden="false" customHeight="false" outlineLevel="0" collapsed="false">
      <c r="B19" s="7" t="s">
        <v>164</v>
      </c>
      <c r="D19" s="29" t="n">
        <f aca="false">SUM(E19:S19)</f>
        <v>-46101459</v>
      </c>
      <c r="E19" s="29" t="n">
        <f aca="false">IF(E$6=2026,-01_Annahmen!$C$25,0)</f>
        <v>-46101459</v>
      </c>
      <c r="F19" s="29" t="n">
        <f aca="false">IF(F$6=2026,-01_Annahmen!$C$25,0)</f>
        <v>0</v>
      </c>
      <c r="G19" s="29" t="n">
        <f aca="false">IF(G$6=2026,-01_Annahmen!$C$25,0)</f>
        <v>0</v>
      </c>
      <c r="H19" s="29" t="n">
        <f aca="false">IF(H$6=2026,-01_Annahmen!$C$25,0)</f>
        <v>0</v>
      </c>
      <c r="I19" s="29" t="n">
        <f aca="false">IF(I$6=2026,-01_Annahmen!$C$25,0)</f>
        <v>0</v>
      </c>
      <c r="J19" s="29" t="n">
        <f aca="false">IF(J$6=2026,-01_Annahmen!$C$25,0)</f>
        <v>0</v>
      </c>
      <c r="K19" s="29" t="n">
        <f aca="false">IF(K$6=2026,-01_Annahmen!$C$25,0)</f>
        <v>0</v>
      </c>
      <c r="L19" s="29" t="n">
        <f aca="false">IF(L$6=2026,-01_Annahmen!$C$25,0)</f>
        <v>0</v>
      </c>
      <c r="M19" s="29" t="n">
        <f aca="false">IF(M$6=2026,-01_Annahmen!$C$25,0)</f>
        <v>0</v>
      </c>
      <c r="N19" s="29" t="n">
        <f aca="false">IF(N$6=2026,-01_Annahmen!$C$25,0)</f>
        <v>0</v>
      </c>
      <c r="O19" s="29" t="n">
        <f aca="false">IF(O$6=2026,-01_Annahmen!$C$25,0)</f>
        <v>0</v>
      </c>
      <c r="P19" s="29" t="n">
        <f aca="false">IF(P$6=2026,-01_Annahmen!$C$25,0)</f>
        <v>0</v>
      </c>
      <c r="Q19" s="29" t="n">
        <f aca="false">IF(Q$6=2026,-01_Annahmen!$C$25,0)</f>
        <v>0</v>
      </c>
      <c r="R19" s="29" t="n">
        <f aca="false">IF(R$6=2026,-01_Annahmen!$C$25,0)</f>
        <v>0</v>
      </c>
      <c r="S19" s="29" t="n">
        <f aca="false">IF(S$6=2026,-01_Annahmen!$C$25,0)</f>
        <v>0</v>
      </c>
      <c r="T19" s="38" t="s">
        <v>165</v>
      </c>
      <c r="U19" s="38" t="s">
        <v>166</v>
      </c>
    </row>
    <row r="20" customFormat="false" ht="15" hidden="false" customHeight="false" outlineLevel="0" collapsed="false">
      <c r="B20" s="7" t="s">
        <v>29</v>
      </c>
      <c r="C20" s="7" t="s">
        <v>103</v>
      </c>
      <c r="D20" s="29" t="n">
        <f aca="false">SUM(E20:S20)</f>
        <v>0</v>
      </c>
      <c r="E20" s="29" t="n">
        <f aca="false">IF(E$6=01_Annahmen!$C$14,E8*(1+01_Annahmen!$L$30)/(01_Annahmen!$M$30+01_Annahmen!$C$13),0)</f>
        <v>0</v>
      </c>
      <c r="F20" s="29" t="n">
        <f aca="false">IF(F$6=01_Annahmen!$C$14,F8*(1+01_Annahmen!$L$30)/(01_Annahmen!$M$30+01_Annahmen!$C$13),0)</f>
        <v>0</v>
      </c>
      <c r="G20" s="29" t="n">
        <f aca="false">IF(G$6=01_Annahmen!$C$14,G8*(1+01_Annahmen!$L$30)/(01_Annahmen!$M$30+01_Annahmen!$C$13),0)</f>
        <v>0</v>
      </c>
      <c r="H20" s="29" t="n">
        <f aca="false">IF(H$6=01_Annahmen!$C$14,H8*(1+01_Annahmen!$L$30)/(01_Annahmen!$M$30+01_Annahmen!$C$13),0)</f>
        <v>0</v>
      </c>
      <c r="I20" s="29" t="n">
        <f aca="false">IF(I$6=01_Annahmen!$C$14,I8*(1+01_Annahmen!$L$30)/(01_Annahmen!$M$30+01_Annahmen!$C$13),0)</f>
        <v>0</v>
      </c>
      <c r="J20" s="29" t="n">
        <f aca="false">IF(J$6=01_Annahmen!$C$14,J8*(1+01_Annahmen!$L$30)/(01_Annahmen!$M$30+01_Annahmen!$C$13),0)</f>
        <v>0</v>
      </c>
      <c r="K20" s="29" t="n">
        <f aca="false">IF(K$6=01_Annahmen!$C$14,K8*(1+01_Annahmen!$L$30)/(01_Annahmen!$M$30+01_Annahmen!$C$13),0)</f>
        <v>0</v>
      </c>
      <c r="L20" s="29" t="n">
        <f aca="false">IF(L$6=01_Annahmen!$C$14,L8*(1+01_Annahmen!$L$30)/(01_Annahmen!$M$30+01_Annahmen!$C$13),0)</f>
        <v>0</v>
      </c>
      <c r="M20" s="29" t="n">
        <f aca="false">IF(M$6=01_Annahmen!$C$14,M8*(1+01_Annahmen!$L$30)/(01_Annahmen!$M$30+01_Annahmen!$C$13),0)</f>
        <v>0</v>
      </c>
      <c r="N20" s="29" t="n">
        <f aca="false">IF(N$6=01_Annahmen!$C$14,N8*(1+01_Annahmen!$L$30)/(01_Annahmen!$M$30+01_Annahmen!$C$13),0)</f>
        <v>0</v>
      </c>
      <c r="O20" s="29" t="n">
        <f aca="false">IF(O$6=01_Annahmen!$C$14,O8*(1+01_Annahmen!$L$30)/(01_Annahmen!$M$30+01_Annahmen!$C$13),0)</f>
        <v>0</v>
      </c>
      <c r="P20" s="29" t="n">
        <f aca="false">IF(P$6=01_Annahmen!$C$14,P8*(1+01_Annahmen!$L$30)/(01_Annahmen!$M$30+01_Annahmen!$C$13),0)</f>
        <v>0</v>
      </c>
      <c r="Q20" s="29" t="n">
        <f aca="false">IF(Q$6=01_Annahmen!$C$14,Q8*(1+01_Annahmen!$L$30)/(01_Annahmen!$M$30+01_Annahmen!$C$13),0)</f>
        <v>0</v>
      </c>
      <c r="R20" s="29" t="n">
        <f aca="false">IF(R$6=01_Annahmen!$C$14,R8*(1+01_Annahmen!$L$30)/(01_Annahmen!$M$30+01_Annahmen!$C$13),0)</f>
        <v>0</v>
      </c>
      <c r="S20" s="29" t="n">
        <f aca="false">IF(S$6=01_Annahmen!$C$14,S8*(1+01_Annahmen!$L$30)/(01_Annahmen!$M$30+01_Annahmen!$C$13),0)</f>
        <v>0</v>
      </c>
      <c r="T20" s="29" t="n">
        <f aca="false">S8*(1+01_Annahmen!$L$30)</f>
        <v>0</v>
      </c>
      <c r="U20" s="20" t="n">
        <f aca="false">01_Annahmen!$M$30</f>
        <v>0.03458</v>
      </c>
    </row>
    <row r="21" customFormat="false" ht="15" hidden="false" customHeight="false" outlineLevel="0" collapsed="false">
      <c r="B21" s="7" t="s">
        <v>29</v>
      </c>
      <c r="C21" s="7" t="s">
        <v>105</v>
      </c>
      <c r="D21" s="29" t="n">
        <f aca="false">SUM(E21:S21)</f>
        <v>37956122.5461396</v>
      </c>
      <c r="E21" s="29" t="n">
        <f aca="false">IF(E$6=01_Annahmen!$C$14,E9*(1+01_Annahmen!$L$31)/(01_Annahmen!$M$31+01_Annahmen!$C$13),0)</f>
        <v>0</v>
      </c>
      <c r="F21" s="29" t="n">
        <f aca="false">IF(F$6=01_Annahmen!$C$14,F9*(1+01_Annahmen!$L$31)/(01_Annahmen!$M$31+01_Annahmen!$C$13),0)</f>
        <v>0</v>
      </c>
      <c r="G21" s="29" t="n">
        <f aca="false">IF(G$6=01_Annahmen!$C$14,G9*(1+01_Annahmen!$L$31)/(01_Annahmen!$M$31+01_Annahmen!$C$13),0)</f>
        <v>0</v>
      </c>
      <c r="H21" s="29" t="n">
        <f aca="false">IF(H$6=01_Annahmen!$C$14,H9*(1+01_Annahmen!$L$31)/(01_Annahmen!$M$31+01_Annahmen!$C$13),0)</f>
        <v>0</v>
      </c>
      <c r="I21" s="29" t="n">
        <f aca="false">IF(I$6=01_Annahmen!$C$14,I9*(1+01_Annahmen!$L$31)/(01_Annahmen!$M$31+01_Annahmen!$C$13),0)</f>
        <v>0</v>
      </c>
      <c r="J21" s="29" t="n">
        <f aca="false">IF(J$6=01_Annahmen!$C$14,J9*(1+01_Annahmen!$L$31)/(01_Annahmen!$M$31+01_Annahmen!$C$13),0)</f>
        <v>0</v>
      </c>
      <c r="K21" s="29" t="n">
        <f aca="false">IF(K$6=01_Annahmen!$C$14,K9*(1+01_Annahmen!$L$31)/(01_Annahmen!$M$31+01_Annahmen!$C$13),0)</f>
        <v>0</v>
      </c>
      <c r="L21" s="29" t="n">
        <f aca="false">IF(L$6=01_Annahmen!$C$14,L9*(1+01_Annahmen!$L$31)/(01_Annahmen!$M$31+01_Annahmen!$C$13),0)</f>
        <v>0</v>
      </c>
      <c r="M21" s="29" t="n">
        <f aca="false">IF(M$6=01_Annahmen!$C$14,M9*(1+01_Annahmen!$L$31)/(01_Annahmen!$M$31+01_Annahmen!$C$13),0)</f>
        <v>0</v>
      </c>
      <c r="N21" s="29" t="n">
        <f aca="false">IF(N$6=01_Annahmen!$C$14,N9*(1+01_Annahmen!$L$31)/(01_Annahmen!$M$31+01_Annahmen!$C$13),0)</f>
        <v>0</v>
      </c>
      <c r="O21" s="29" t="n">
        <f aca="false">IF(O$6=01_Annahmen!$C$14,O9*(1+01_Annahmen!$L$31)/(01_Annahmen!$M$31+01_Annahmen!$C$13),0)</f>
        <v>0</v>
      </c>
      <c r="P21" s="29" t="n">
        <f aca="false">IF(P$6=01_Annahmen!$C$14,P9*(1+01_Annahmen!$L$31)/(01_Annahmen!$M$31+01_Annahmen!$C$13),0)</f>
        <v>0</v>
      </c>
      <c r="Q21" s="29" t="n">
        <f aca="false">IF(Q$6=01_Annahmen!$C$14,Q9*(1+01_Annahmen!$L$31)/(01_Annahmen!$M$31+01_Annahmen!$C$13),0)</f>
        <v>0</v>
      </c>
      <c r="R21" s="29" t="n">
        <f aca="false">IF(R$6=01_Annahmen!$C$14,R9*(1+01_Annahmen!$L$31)/(01_Annahmen!$M$31+01_Annahmen!$C$13),0)</f>
        <v>0</v>
      </c>
      <c r="S21" s="29" t="n">
        <f aca="false">IF(S$6=01_Annahmen!$C$14,S9*(1+01_Annahmen!$L$31)/(01_Annahmen!$M$31+01_Annahmen!$C$13),0)</f>
        <v>37956122.5461396</v>
      </c>
      <c r="T21" s="29" t="n">
        <f aca="false">S9*(1+01_Annahmen!$L$31)</f>
        <v>1781280.83109033</v>
      </c>
      <c r="U21" s="20" t="n">
        <f aca="false">01_Annahmen!$M$31</f>
        <v>0.04543</v>
      </c>
    </row>
    <row r="22" customFormat="false" ht="15" hidden="false" customHeight="false" outlineLevel="0" collapsed="false">
      <c r="B22" s="7" t="s">
        <v>29</v>
      </c>
      <c r="C22" s="7" t="s">
        <v>107</v>
      </c>
      <c r="D22" s="29" t="n">
        <f aca="false">SUM(E22:S22)</f>
        <v>39132464.5873271</v>
      </c>
      <c r="E22" s="29" t="n">
        <f aca="false">IF(E$6=01_Annahmen!$C$14,E10*(1+01_Annahmen!$L$32)/(01_Annahmen!$M$32+01_Annahmen!$C$13),0)</f>
        <v>0</v>
      </c>
      <c r="F22" s="29" t="n">
        <f aca="false">IF(F$6=01_Annahmen!$C$14,F10*(1+01_Annahmen!$L$32)/(01_Annahmen!$M$32+01_Annahmen!$C$13),0)</f>
        <v>0</v>
      </c>
      <c r="G22" s="29" t="n">
        <f aca="false">IF(G$6=01_Annahmen!$C$14,G10*(1+01_Annahmen!$L$32)/(01_Annahmen!$M$32+01_Annahmen!$C$13),0)</f>
        <v>0</v>
      </c>
      <c r="H22" s="29" t="n">
        <f aca="false">IF(H$6=01_Annahmen!$C$14,H10*(1+01_Annahmen!$L$32)/(01_Annahmen!$M$32+01_Annahmen!$C$13),0)</f>
        <v>0</v>
      </c>
      <c r="I22" s="29" t="n">
        <f aca="false">IF(I$6=01_Annahmen!$C$14,I10*(1+01_Annahmen!$L$32)/(01_Annahmen!$M$32+01_Annahmen!$C$13),0)</f>
        <v>0</v>
      </c>
      <c r="J22" s="29" t="n">
        <f aca="false">IF(J$6=01_Annahmen!$C$14,J10*(1+01_Annahmen!$L$32)/(01_Annahmen!$M$32+01_Annahmen!$C$13),0)</f>
        <v>0</v>
      </c>
      <c r="K22" s="29" t="n">
        <f aca="false">IF(K$6=01_Annahmen!$C$14,K10*(1+01_Annahmen!$L$32)/(01_Annahmen!$M$32+01_Annahmen!$C$13),0)</f>
        <v>0</v>
      </c>
      <c r="L22" s="29" t="n">
        <f aca="false">IF(L$6=01_Annahmen!$C$14,L10*(1+01_Annahmen!$L$32)/(01_Annahmen!$M$32+01_Annahmen!$C$13),0)</f>
        <v>0</v>
      </c>
      <c r="M22" s="29" t="n">
        <f aca="false">IF(M$6=01_Annahmen!$C$14,M10*(1+01_Annahmen!$L$32)/(01_Annahmen!$M$32+01_Annahmen!$C$13),0)</f>
        <v>0</v>
      </c>
      <c r="N22" s="29" t="n">
        <f aca="false">IF(N$6=01_Annahmen!$C$14,N10*(1+01_Annahmen!$L$32)/(01_Annahmen!$M$32+01_Annahmen!$C$13),0)</f>
        <v>0</v>
      </c>
      <c r="O22" s="29" t="n">
        <f aca="false">IF(O$6=01_Annahmen!$C$14,O10*(1+01_Annahmen!$L$32)/(01_Annahmen!$M$32+01_Annahmen!$C$13),0)</f>
        <v>0</v>
      </c>
      <c r="P22" s="29" t="n">
        <f aca="false">IF(P$6=01_Annahmen!$C$14,P10*(1+01_Annahmen!$L$32)/(01_Annahmen!$M$32+01_Annahmen!$C$13),0)</f>
        <v>0</v>
      </c>
      <c r="Q22" s="29" t="n">
        <f aca="false">IF(Q$6=01_Annahmen!$C$14,Q10*(1+01_Annahmen!$L$32)/(01_Annahmen!$M$32+01_Annahmen!$C$13),0)</f>
        <v>0</v>
      </c>
      <c r="R22" s="29" t="n">
        <f aca="false">IF(R$6=01_Annahmen!$C$14,R10*(1+01_Annahmen!$L$32)/(01_Annahmen!$M$32+01_Annahmen!$C$13),0)</f>
        <v>0</v>
      </c>
      <c r="S22" s="29" t="n">
        <f aca="false">IF(S$6=01_Annahmen!$C$14,S10*(1+01_Annahmen!$L$32)/(01_Annahmen!$M$32+01_Annahmen!$C$13),0)</f>
        <v>39132464.5873271</v>
      </c>
      <c r="T22" s="29" t="n">
        <f aca="false">S10*(1+01_Annahmen!$L$32)</f>
        <v>2080281.81746231</v>
      </c>
      <c r="U22" s="20" t="n">
        <f aca="false">01_Annahmen!$M$32</f>
        <v>0.05166</v>
      </c>
    </row>
    <row r="23" customFormat="false" ht="15" hidden="false" customHeight="false" outlineLevel="0" collapsed="false">
      <c r="B23" s="7" t="s">
        <v>29</v>
      </c>
      <c r="C23" s="7" t="s">
        <v>109</v>
      </c>
      <c r="D23" s="29" t="n">
        <f aca="false">SUM(E23:S23)</f>
        <v>0</v>
      </c>
      <c r="E23" s="29" t="n">
        <f aca="false">IF(E$6=01_Annahmen!$C$14,E11*(1+01_Annahmen!$L$33)/(01_Annahmen!$M$33+01_Annahmen!$C$13),0)</f>
        <v>0</v>
      </c>
      <c r="F23" s="29" t="n">
        <f aca="false">IF(F$6=01_Annahmen!$C$14,F11*(1+01_Annahmen!$L$33)/(01_Annahmen!$M$33+01_Annahmen!$C$13),0)</f>
        <v>0</v>
      </c>
      <c r="G23" s="29" t="n">
        <f aca="false">IF(G$6=01_Annahmen!$C$14,G11*(1+01_Annahmen!$L$33)/(01_Annahmen!$M$33+01_Annahmen!$C$13),0)</f>
        <v>0</v>
      </c>
      <c r="H23" s="29" t="n">
        <f aca="false">IF(H$6=01_Annahmen!$C$14,H11*(1+01_Annahmen!$L$33)/(01_Annahmen!$M$33+01_Annahmen!$C$13),0)</f>
        <v>0</v>
      </c>
      <c r="I23" s="29" t="n">
        <f aca="false">IF(I$6=01_Annahmen!$C$14,I11*(1+01_Annahmen!$L$33)/(01_Annahmen!$M$33+01_Annahmen!$C$13),0)</f>
        <v>0</v>
      </c>
      <c r="J23" s="29" t="n">
        <f aca="false">IF(J$6=01_Annahmen!$C$14,J11*(1+01_Annahmen!$L$33)/(01_Annahmen!$M$33+01_Annahmen!$C$13),0)</f>
        <v>0</v>
      </c>
      <c r="K23" s="29" t="n">
        <f aca="false">IF(K$6=01_Annahmen!$C$14,K11*(1+01_Annahmen!$L$33)/(01_Annahmen!$M$33+01_Annahmen!$C$13),0)</f>
        <v>0</v>
      </c>
      <c r="L23" s="29" t="n">
        <f aca="false">IF(L$6=01_Annahmen!$C$14,L11*(1+01_Annahmen!$L$33)/(01_Annahmen!$M$33+01_Annahmen!$C$13),0)</f>
        <v>0</v>
      </c>
      <c r="M23" s="29" t="n">
        <f aca="false">IF(M$6=01_Annahmen!$C$14,M11*(1+01_Annahmen!$L$33)/(01_Annahmen!$M$33+01_Annahmen!$C$13),0)</f>
        <v>0</v>
      </c>
      <c r="N23" s="29" t="n">
        <f aca="false">IF(N$6=01_Annahmen!$C$14,N11*(1+01_Annahmen!$L$33)/(01_Annahmen!$M$33+01_Annahmen!$C$13),0)</f>
        <v>0</v>
      </c>
      <c r="O23" s="29" t="n">
        <f aca="false">IF(O$6=01_Annahmen!$C$14,O11*(1+01_Annahmen!$L$33)/(01_Annahmen!$M$33+01_Annahmen!$C$13),0)</f>
        <v>0</v>
      </c>
      <c r="P23" s="29" t="n">
        <f aca="false">IF(P$6=01_Annahmen!$C$14,P11*(1+01_Annahmen!$L$33)/(01_Annahmen!$M$33+01_Annahmen!$C$13),0)</f>
        <v>0</v>
      </c>
      <c r="Q23" s="29" t="n">
        <f aca="false">IF(Q$6=01_Annahmen!$C$14,Q11*(1+01_Annahmen!$L$33)/(01_Annahmen!$M$33+01_Annahmen!$C$13),0)</f>
        <v>0</v>
      </c>
      <c r="R23" s="29" t="n">
        <f aca="false">IF(R$6=01_Annahmen!$C$14,R11*(1+01_Annahmen!$L$33)/(01_Annahmen!$M$33+01_Annahmen!$C$13),0)</f>
        <v>0</v>
      </c>
      <c r="S23" s="29" t="n">
        <f aca="false">IF(S$6=01_Annahmen!$C$14,S11*(1+01_Annahmen!$L$33)/(01_Annahmen!$M$33+01_Annahmen!$C$13),0)</f>
        <v>0</v>
      </c>
      <c r="T23" s="29" t="n">
        <f aca="false">S11*(1+01_Annahmen!$L$33)</f>
        <v>0</v>
      </c>
      <c r="U23" s="20" t="n">
        <f aca="false">01_Annahmen!$M$33</f>
        <v>0.03457</v>
      </c>
    </row>
    <row r="24" customFormat="false" ht="15" hidden="false" customHeight="false" outlineLevel="0" collapsed="false">
      <c r="B24" s="5" t="s">
        <v>167</v>
      </c>
      <c r="D24" s="34" t="n">
        <f aca="false">SUM(D20:D23)</f>
        <v>77088587.1334667</v>
      </c>
      <c r="E24" s="34" t="n">
        <f aca="false">SUM(E20:E23)</f>
        <v>0</v>
      </c>
      <c r="F24" s="34" t="n">
        <f aca="false">SUM(F20:F23)</f>
        <v>0</v>
      </c>
      <c r="G24" s="34" t="n">
        <f aca="false">SUM(G20:G23)</f>
        <v>0</v>
      </c>
      <c r="H24" s="34" t="n">
        <f aca="false">SUM(H20:H23)</f>
        <v>0</v>
      </c>
      <c r="I24" s="34" t="n">
        <f aca="false">SUM(I20:I23)</f>
        <v>0</v>
      </c>
      <c r="J24" s="34" t="n">
        <f aca="false">SUM(J20:J23)</f>
        <v>0</v>
      </c>
      <c r="K24" s="34" t="n">
        <f aca="false">SUM(K20:K23)</f>
        <v>0</v>
      </c>
      <c r="L24" s="34" t="n">
        <f aca="false">SUM(L20:L23)</f>
        <v>0</v>
      </c>
      <c r="M24" s="34" t="n">
        <f aca="false">SUM(M20:M23)</f>
        <v>0</v>
      </c>
      <c r="N24" s="34" t="n">
        <f aca="false">SUM(N20:N23)</f>
        <v>0</v>
      </c>
      <c r="O24" s="34" t="n">
        <f aca="false">SUM(O20:O23)</f>
        <v>0</v>
      </c>
      <c r="P24" s="34" t="n">
        <f aca="false">SUM(P20:P23)</f>
        <v>0</v>
      </c>
      <c r="Q24" s="34" t="n">
        <f aca="false">SUM(Q20:Q23)</f>
        <v>0</v>
      </c>
      <c r="R24" s="34" t="n">
        <f aca="false">SUM(R20:R23)</f>
        <v>0</v>
      </c>
      <c r="S24" s="34" t="n">
        <f aca="false">SUM(S20:S23)</f>
        <v>77088587.1334667</v>
      </c>
    </row>
    <row r="25" customFormat="false" ht="15" hidden="false" customHeight="false" outlineLevel="0" collapsed="false">
      <c r="B25" s="31" t="s">
        <v>168</v>
      </c>
      <c r="C25" s="31"/>
      <c r="D25" s="32" t="n">
        <f aca="false">D12+D17+D18+D19+D24</f>
        <v>57528316.5596998</v>
      </c>
      <c r="E25" s="32" t="n">
        <f aca="false">E12+E17+E18+E19+E24</f>
        <v>-47363959</v>
      </c>
      <c r="F25" s="32" t="n">
        <f aca="false">F12+F17+F18+F19+F24</f>
        <v>-6375000</v>
      </c>
      <c r="G25" s="32" t="n">
        <f aca="false">G12+G17+G18+G19+G24</f>
        <v>-36242361.5</v>
      </c>
      <c r="H25" s="32" t="n">
        <f aca="false">H12+H17+H18+H19+H24</f>
        <v>-1131791.7</v>
      </c>
      <c r="I25" s="32" t="n">
        <f aca="false">I12+I17+I18+I19+I24</f>
        <v>-21837276.683</v>
      </c>
      <c r="J25" s="32" t="n">
        <f aca="false">J12+J17+J18+J19+J24</f>
        <v>59966134.2088892</v>
      </c>
      <c r="K25" s="32" t="n">
        <f aca="false">K12+K17+K18+K19+K24</f>
        <v>3598304.25651308</v>
      </c>
      <c r="L25" s="32" t="n">
        <f aca="false">L12+L17+L18+L19+L24</f>
        <v>3626644.40123564</v>
      </c>
      <c r="M25" s="32" t="n">
        <f aca="false">M12+M17+M18+M19+M24</f>
        <v>3655208.07392356</v>
      </c>
      <c r="N25" s="32" t="n">
        <f aca="false">N12+N17+N18+N19+N24</f>
        <v>3683997.04016085</v>
      </c>
      <c r="O25" s="32" t="n">
        <f aca="false">O12+O17+O18+O19+O24</f>
        <v>3713013.07949754</v>
      </c>
      <c r="P25" s="32" t="n">
        <f aca="false">P12+P17+P18+P19+P24</f>
        <v>3742257.98556019</v>
      </c>
      <c r="Q25" s="32" t="n">
        <f aca="false">Q12+Q17+Q18+Q19+Q24</f>
        <v>3771733.56616352</v>
      </c>
      <c r="R25" s="32" t="n">
        <f aca="false">R12+R17+R18+R19+R24</f>
        <v>3801441.64342273</v>
      </c>
      <c r="S25" s="32" t="n">
        <f aca="false">S12+S17+S18+S19+S24</f>
        <v>80919971.1873335</v>
      </c>
    </row>
    <row r="26" customFormat="false" ht="15" hidden="false" customHeight="false" outlineLevel="0" collapsed="false">
      <c r="B26" s="7" t="s">
        <v>169</v>
      </c>
      <c r="E26" s="39" t="n">
        <f aca="false">1/(1+01_Annahmen!$C$12)^(E$6-2026)</f>
        <v>1</v>
      </c>
      <c r="F26" s="39" t="n">
        <f aca="false">1/(1+01_Annahmen!$C$12)^(F$6-2026)</f>
        <v>0.943675750663277</v>
      </c>
      <c r="G26" s="39" t="n">
        <f aca="false">1/(1+01_Annahmen!$C$12)^(G$6-2026)</f>
        <v>0.8905239223899</v>
      </c>
      <c r="H26" s="39" t="n">
        <f aca="false">1/(1+01_Annahmen!$C$12)^(H$6-2026)</f>
        <v>0.840365830944895</v>
      </c>
      <c r="I26" s="39" t="n">
        <f aca="false">1/(1+01_Annahmen!$C$12)^(I$6-2026)</f>
        <v>0.793032856348692</v>
      </c>
      <c r="J26" s="39" t="n">
        <f aca="false">1/(1+01_Annahmen!$C$12)^(J$6-2026)</f>
        <v>0.748365876015495</v>
      </c>
      <c r="K26" s="39" t="n">
        <f aca="false">1/(1+01_Annahmen!$C$12)^(K$6-2026)</f>
        <v>0.706214729819703</v>
      </c>
      <c r="L26" s="39" t="n">
        <f aca="false">1/(1+01_Annahmen!$C$12)^(L$6-2026)</f>
        <v>0.666437715292072</v>
      </c>
      <c r="M26" s="39" t="n">
        <f aca="false">1/(1+01_Annahmen!$C$12)^(M$6-2026)</f>
        <v>0.628901111248565</v>
      </c>
      <c r="N26" s="39" t="n">
        <f aca="false">1/(1+01_Annahmen!$C$12)^(N$6-2026)</f>
        <v>0.593478728250459</v>
      </c>
      <c r="O26" s="39" t="n">
        <f aca="false">1/(1+01_Annahmen!$C$12)^(O$6-2026)</f>
        <v>0.560051484384439</v>
      </c>
      <c r="P26" s="39" t="n">
        <f aca="false">1/(1+01_Annahmen!$C$12)^(P$6-2026)</f>
        <v>0.528507004936568</v>
      </c>
      <c r="Q26" s="39" t="n">
        <f aca="false">1/(1+01_Annahmen!$C$12)^(Q$6-2026)</f>
        <v>0.498739244614316</v>
      </c>
      <c r="R26" s="39" t="n">
        <f aca="false">1/(1+01_Annahmen!$C$12)^(R$6-2026)</f>
        <v>0.470648131046651</v>
      </c>
      <c r="S26" s="39" t="n">
        <f aca="false">1/(1+01_Annahmen!$C$12)^(S$6-2026)</f>
        <v>0.444139228363717</v>
      </c>
    </row>
    <row r="27" customFormat="false" ht="15" hidden="false" customHeight="false" outlineLevel="0" collapsed="false">
      <c r="B27" s="7" t="s">
        <v>170</v>
      </c>
      <c r="D27" s="34" t="n">
        <f aca="false">SUM(E27:S27)</f>
        <v>-5936249.30863811</v>
      </c>
      <c r="E27" s="29" t="n">
        <f aca="false">E25*E26</f>
        <v>-47363959</v>
      </c>
      <c r="F27" s="29" t="n">
        <f aca="false">F25*F26</f>
        <v>-6015932.91047839</v>
      </c>
      <c r="G27" s="29" t="n">
        <f aca="false">G25*G26</f>
        <v>-32274689.9196527</v>
      </c>
      <c r="H27" s="29" t="n">
        <f aca="false">H25*H26</f>
        <v>-951119.072427034</v>
      </c>
      <c r="I27" s="29" t="n">
        <f aca="false">I25*I26</f>
        <v>-17317677.9027962</v>
      </c>
      <c r="J27" s="29" t="n">
        <f aca="false">J25*J26</f>
        <v>44876608.5584981</v>
      </c>
      <c r="K27" s="29" t="n">
        <f aca="false">K25*K26</f>
        <v>2541175.46832247</v>
      </c>
      <c r="L27" s="29" t="n">
        <f aca="false">L25*L26</f>
        <v>2416932.60893627</v>
      </c>
      <c r="M27" s="29" t="n">
        <f aca="false">M25*M26</f>
        <v>2298764.41953525</v>
      </c>
      <c r="N27" s="29" t="n">
        <f aca="false">N25*N26</f>
        <v>2186373.87827312</v>
      </c>
      <c r="O27" s="29" t="n">
        <f aca="false">O25*O26</f>
        <v>2079478.48671143</v>
      </c>
      <c r="P27" s="29" t="n">
        <f aca="false">P25*P26</f>
        <v>1977809.55964837</v>
      </c>
      <c r="Q27" s="29" t="n">
        <f aca="false">Q25*Q26</f>
        <v>1881111.54967486</v>
      </c>
      <c r="R27" s="29" t="n">
        <f aca="false">R25*R26</f>
        <v>1789141.40475982</v>
      </c>
      <c r="S27" s="29" t="n">
        <f aca="false">S25*S26</f>
        <v>35939733.5623565</v>
      </c>
    </row>
    <row r="28" customFormat="false" ht="15" hidden="false" customHeight="false" outlineLevel="0" collapsed="false">
      <c r="B28" s="7" t="s">
        <v>171</v>
      </c>
      <c r="E28" s="29" t="n">
        <f aca="false">E25-E24</f>
        <v>-47363959</v>
      </c>
      <c r="F28" s="29" t="n">
        <f aca="false">F25-F24+E28</f>
        <v>-53738959</v>
      </c>
      <c r="G28" s="29" t="n">
        <f aca="false">G25-G24+F28</f>
        <v>-89981320.5</v>
      </c>
      <c r="H28" s="29" t="n">
        <f aca="false">H25-H24+G28</f>
        <v>-91113112.2</v>
      </c>
      <c r="I28" s="29" t="n">
        <f aca="false">I25-I24+H28</f>
        <v>-112950388.883</v>
      </c>
      <c r="J28" s="29" t="n">
        <f aca="false">J25-J24+I28</f>
        <v>-52984254.6741108</v>
      </c>
      <c r="K28" s="29" t="n">
        <f aca="false">K25-K24+J28</f>
        <v>-49385950.4175977</v>
      </c>
      <c r="L28" s="29" t="n">
        <f aca="false">L25-L24+K28</f>
        <v>-45759306.016362</v>
      </c>
      <c r="M28" s="29" t="n">
        <f aca="false">M25-M24+L28</f>
        <v>-42104097.9424385</v>
      </c>
      <c r="N28" s="29" t="n">
        <f aca="false">N25-N24+M28</f>
        <v>-38420100.9022776</v>
      </c>
      <c r="O28" s="29" t="n">
        <f aca="false">O25-O24+N28</f>
        <v>-34707087.8227801</v>
      </c>
      <c r="P28" s="29" t="n">
        <f aca="false">P25-P24+O28</f>
        <v>-30964829.8372199</v>
      </c>
      <c r="Q28" s="29" t="n">
        <f aca="false">Q25-Q24+P28</f>
        <v>-27193096.2710564</v>
      </c>
      <c r="R28" s="29" t="n">
        <f aca="false">R25-R24+Q28</f>
        <v>-23391654.6276336</v>
      </c>
      <c r="S28" s="29" t="n">
        <f aca="false">S25-S24+R28</f>
        <v>-19560270.5737668</v>
      </c>
    </row>
    <row r="30" customFormat="false" ht="15" hidden="false" customHeight="false" outlineLevel="0" collapsed="false">
      <c r="B30" s="16" t="s">
        <v>172</v>
      </c>
    </row>
    <row r="31" customFormat="false" ht="15" hidden="false" customHeight="false" outlineLevel="0" collapsed="false">
      <c r="B31" s="7" t="s">
        <v>173</v>
      </c>
      <c r="D31" s="29" t="n">
        <f aca="false">SUM(E31:S31)</f>
        <v>117670859</v>
      </c>
      <c r="E31" s="29" t="n">
        <f aca="false">-E18</f>
        <v>1262500</v>
      </c>
      <c r="F31" s="29" t="n">
        <f aca="false">-F18</f>
        <v>6375000</v>
      </c>
      <c r="G31" s="29" t="n">
        <f aca="false">-G18</f>
        <v>36242361.5</v>
      </c>
      <c r="H31" s="29" t="n">
        <f aca="false">-H18</f>
        <v>30381791.7</v>
      </c>
      <c r="I31" s="29" t="n">
        <f aca="false">-I18</f>
        <v>23667789.3</v>
      </c>
      <c r="J31" s="29" t="n">
        <f aca="false">-J18</f>
        <v>19741416.5</v>
      </c>
      <c r="K31" s="29" t="n">
        <f aca="false">-K18</f>
        <v>0</v>
      </c>
      <c r="L31" s="29" t="n">
        <f aca="false">-L18</f>
        <v>0</v>
      </c>
      <c r="M31" s="29" t="n">
        <f aca="false">-M18</f>
        <v>0</v>
      </c>
      <c r="N31" s="29" t="n">
        <f aca="false">-N18</f>
        <v>0</v>
      </c>
      <c r="O31" s="29" t="n">
        <f aca="false">-O18</f>
        <v>0</v>
      </c>
      <c r="P31" s="29" t="n">
        <f aca="false">-P18</f>
        <v>0</v>
      </c>
      <c r="Q31" s="29" t="n">
        <f aca="false">-Q18</f>
        <v>0</v>
      </c>
      <c r="R31" s="29" t="n">
        <f aca="false">-R18</f>
        <v>0</v>
      </c>
      <c r="S31" s="29" t="n">
        <f aca="false">-S18</f>
        <v>0</v>
      </c>
    </row>
    <row r="32" customFormat="false" ht="15" hidden="false" customHeight="false" outlineLevel="0" collapsed="false">
      <c r="B32" s="7" t="s">
        <v>174</v>
      </c>
      <c r="D32" s="34" t="n">
        <f aca="false">MAX(0,01_Annahmen!$C$19*02_Investitionen!$D$18-01_Annahmen!$C$25)</f>
        <v>11218852.3</v>
      </c>
    </row>
    <row r="33" customFormat="false" ht="15" hidden="false" customHeight="false" outlineLevel="0" collapsed="false">
      <c r="B33" s="7" t="s">
        <v>175</v>
      </c>
      <c r="D33" s="29" t="n">
        <f aca="false">SUM(E33:S33)</f>
        <v>11218852.3</v>
      </c>
      <c r="E33" s="29" t="n">
        <f aca="false">MIN(E31,$D$32-0)</f>
        <v>1262500</v>
      </c>
      <c r="F33" s="29" t="n">
        <f aca="false">MIN(F31,$D$32-SUM($E33:E33))</f>
        <v>6375000</v>
      </c>
      <c r="G33" s="29" t="n">
        <f aca="false">MIN(G31,$D$32-SUM($E33:F33))</f>
        <v>3581352.3</v>
      </c>
      <c r="H33" s="29" t="n">
        <f aca="false">MIN(H31,$D$32-SUM($E33:G33))</f>
        <v>0</v>
      </c>
      <c r="I33" s="29" t="n">
        <f aca="false">MIN(I31,$D$32-SUM($E33:H33))</f>
        <v>0</v>
      </c>
      <c r="J33" s="29" t="n">
        <f aca="false">MIN(J31,$D$32-SUM($E33:I33))</f>
        <v>0</v>
      </c>
      <c r="K33" s="29" t="n">
        <f aca="false">MIN(K31,$D$32-SUM($E33:J33))</f>
        <v>0</v>
      </c>
      <c r="L33" s="29" t="n">
        <f aca="false">MIN(L31,$D$32-SUM($E33:K33))</f>
        <v>0</v>
      </c>
      <c r="M33" s="29" t="n">
        <f aca="false">MIN(M31,$D$32-SUM($E33:L33))</f>
        <v>0</v>
      </c>
      <c r="N33" s="29" t="n">
        <f aca="false">MIN(N31,$D$32-SUM($E33:M33))</f>
        <v>0</v>
      </c>
      <c r="O33" s="29" t="n">
        <f aca="false">MIN(O31,$D$32-SUM($E33:N33))</f>
        <v>0</v>
      </c>
      <c r="P33" s="29" t="n">
        <f aca="false">MIN(P31,$D$32-SUM($E33:O33))</f>
        <v>0</v>
      </c>
      <c r="Q33" s="29" t="n">
        <f aca="false">MIN(Q31,$D$32-SUM($E33:P33))</f>
        <v>0</v>
      </c>
      <c r="R33" s="29" t="n">
        <f aca="false">MIN(R31,$D$32-SUM($E33:Q33))</f>
        <v>0</v>
      </c>
      <c r="S33" s="29" t="n">
        <f aca="false">MIN(S31,$D$32-SUM($E33:R33))</f>
        <v>0</v>
      </c>
    </row>
    <row r="34" customFormat="false" ht="15" hidden="false" customHeight="false" outlineLevel="0" collapsed="false">
      <c r="B34" s="7" t="s">
        <v>176</v>
      </c>
      <c r="D34" s="29" t="n">
        <f aca="false">SUM(E34:S34)</f>
        <v>106452006.7</v>
      </c>
      <c r="E34" s="29" t="n">
        <f aca="false">E31-E33</f>
        <v>0</v>
      </c>
      <c r="F34" s="29" t="n">
        <f aca="false">F31-F33</f>
        <v>0</v>
      </c>
      <c r="G34" s="29" t="n">
        <f aca="false">G31-G33</f>
        <v>32661009.2</v>
      </c>
      <c r="H34" s="29" t="n">
        <f aca="false">H31-H33</f>
        <v>30381791.7</v>
      </c>
      <c r="I34" s="29" t="n">
        <f aca="false">I31-I33</f>
        <v>23667789.3</v>
      </c>
      <c r="J34" s="29" t="n">
        <f aca="false">J31-J33</f>
        <v>19741416.5</v>
      </c>
      <c r="K34" s="29" t="n">
        <f aca="false">K31-K33</f>
        <v>0</v>
      </c>
      <c r="L34" s="29" t="n">
        <f aca="false">L31-L33</f>
        <v>0</v>
      </c>
      <c r="M34" s="29" t="n">
        <f aca="false">M31-M33</f>
        <v>0</v>
      </c>
      <c r="N34" s="29" t="n">
        <f aca="false">N31-N33</f>
        <v>0</v>
      </c>
      <c r="O34" s="29" t="n">
        <f aca="false">O31-O33</f>
        <v>0</v>
      </c>
      <c r="P34" s="29" t="n">
        <f aca="false">P31-P33</f>
        <v>0</v>
      </c>
      <c r="Q34" s="29" t="n">
        <f aca="false">Q31-Q33</f>
        <v>0</v>
      </c>
      <c r="R34" s="29" t="n">
        <f aca="false">R31-R33</f>
        <v>0</v>
      </c>
      <c r="S34" s="29" t="n">
        <f aca="false">S31-S33</f>
        <v>0</v>
      </c>
    </row>
    <row r="35" customFormat="false" ht="15" hidden="false" customHeight="false" outlineLevel="0" collapsed="false">
      <c r="B35" s="7" t="s">
        <v>177</v>
      </c>
      <c r="D35" s="29" t="n">
        <f aca="false">SUM(E35:S35)</f>
        <v>4384077.99563288</v>
      </c>
      <c r="E35" s="29" t="n">
        <f aca="false">01_Annahmen!$C$20*(0+E34/2)</f>
        <v>0</v>
      </c>
      <c r="F35" s="29" t="n">
        <f aca="false">01_Annahmen!$C$20*(E39+F34/2)</f>
        <v>0</v>
      </c>
      <c r="G35" s="29" t="n">
        <f aca="false">01_Annahmen!$C$20*(F39+G34/2)</f>
        <v>367436.3535</v>
      </c>
      <c r="H35" s="29" t="n">
        <f aca="false">01_Annahmen!$C$20*(G39+H34/2)</f>
        <v>1084935.18157875</v>
      </c>
      <c r="I35" s="29" t="n">
        <f aca="false">01_Annahmen!$C$20*(H39+I34/2)</f>
        <v>1059279.00941427</v>
      </c>
      <c r="J35" s="29" t="n">
        <f aca="false">01_Annahmen!$C$20*(I39+J34/2)</f>
        <v>1547632.57466427</v>
      </c>
      <c r="K35" s="29" t="n">
        <f aca="false">01_Annahmen!$C$20*(J39+K34/2)</f>
        <v>37223.5102892719</v>
      </c>
      <c r="L35" s="29" t="n">
        <f aca="false">01_Annahmen!$C$20*(K39+L34/2)</f>
        <v>37223.5102892719</v>
      </c>
      <c r="M35" s="29" t="n">
        <f aca="false">01_Annahmen!$C$20*(L39+M34/2)</f>
        <v>36851.2751863792</v>
      </c>
      <c r="N35" s="29" t="n">
        <f aca="false">01_Annahmen!$C$20*(M39+N34/2)</f>
        <v>36482.7624345154</v>
      </c>
      <c r="O35" s="29" t="n">
        <f aca="false">01_Annahmen!$C$20*(N39+O34/2)</f>
        <v>36117.9348101703</v>
      </c>
      <c r="P35" s="29" t="n">
        <f aca="false">01_Annahmen!$C$20*(O39+P34/2)</f>
        <v>35756.7554620686</v>
      </c>
      <c r="Q35" s="29" t="n">
        <f aca="false">01_Annahmen!$C$20*(P39+Q34/2)</f>
        <v>35399.1879074479</v>
      </c>
      <c r="R35" s="29" t="n">
        <f aca="false">01_Annahmen!$C$20*(Q39+R34/2)</f>
        <v>35045.1960283734</v>
      </c>
      <c r="S35" s="29" t="n">
        <f aca="false">01_Annahmen!$C$20*(R39+S34/2)</f>
        <v>34694.7440680897</v>
      </c>
    </row>
    <row r="36" customFormat="false" ht="15" hidden="false" customHeight="false" outlineLevel="0" collapsed="false">
      <c r="B36" s="7" t="s">
        <v>178</v>
      </c>
      <c r="D36" s="29" t="n">
        <f aca="false">SUM(E36:S36)</f>
        <v>127809.496082807</v>
      </c>
      <c r="E36" s="29" t="n">
        <f aca="false">IF(E$6&gt;=01_Annahmen!$C$23,MIN(01_Annahmen!$C$22*0,0),0)</f>
        <v>0</v>
      </c>
      <c r="F36" s="29" t="n">
        <f aca="false">IF(F$6&gt;=01_Annahmen!$C$23,MIN(01_Annahmen!$C$22*E39,E39),0)</f>
        <v>0</v>
      </c>
      <c r="G36" s="29" t="n">
        <f aca="false">IF(G$6&gt;=01_Annahmen!$C$23,MIN(01_Annahmen!$C$22*F39,F39),0)</f>
        <v>0</v>
      </c>
      <c r="H36" s="29" t="n">
        <f aca="false">IF(H$6&gt;=01_Annahmen!$C$23,MIN(01_Annahmen!$C$22*G39,G39),0)</f>
        <v>0</v>
      </c>
      <c r="I36" s="29" t="n">
        <f aca="false">IF(I$6&gt;=01_Annahmen!$C$23,MIN(01_Annahmen!$C$22*H39,H39),0)</f>
        <v>0</v>
      </c>
      <c r="J36" s="29" t="n">
        <f aca="false">IF(J$6&gt;=01_Annahmen!$C$23,MIN(01_Annahmen!$C$22*I39,I39),0)</f>
        <v>0</v>
      </c>
      <c r="K36" s="29" t="n">
        <f aca="false">IF(K$6&gt;=01_Annahmen!$C$23,MIN(01_Annahmen!$C$22*J39,J39),0)</f>
        <v>0</v>
      </c>
      <c r="L36" s="29" t="n">
        <f aca="false">IF(L$6&gt;=01_Annahmen!$C$23,MIN(01_Annahmen!$C$22*K39,K39),0)</f>
        <v>16543.7823507875</v>
      </c>
      <c r="M36" s="29" t="n">
        <f aca="false">IF(M$6&gt;=01_Annahmen!$C$23,MIN(01_Annahmen!$C$22*L39,L39),0)</f>
        <v>16378.3445272796</v>
      </c>
      <c r="N36" s="29" t="n">
        <f aca="false">IF(N$6&gt;=01_Annahmen!$C$23,MIN(01_Annahmen!$C$22*M39,M39),0)</f>
        <v>16214.5610820068</v>
      </c>
      <c r="O36" s="29" t="n">
        <f aca="false">IF(O$6&gt;=01_Annahmen!$C$23,MIN(01_Annahmen!$C$22*N39,N39),0)</f>
        <v>16052.4154711868</v>
      </c>
      <c r="P36" s="29" t="n">
        <f aca="false">IF(P$6&gt;=01_Annahmen!$C$23,MIN(01_Annahmen!$C$22*O39,O39),0)</f>
        <v>15891.8913164749</v>
      </c>
      <c r="Q36" s="29" t="n">
        <f aca="false">IF(Q$6&gt;=01_Annahmen!$C$23,MIN(01_Annahmen!$C$22*P39,P39),0)</f>
        <v>15732.9724033102</v>
      </c>
      <c r="R36" s="29" t="n">
        <f aca="false">IF(R$6&gt;=01_Annahmen!$C$23,MIN(01_Annahmen!$C$22*Q39,Q39),0)</f>
        <v>15575.6426792771</v>
      </c>
      <c r="S36" s="29" t="n">
        <f aca="false">IF(S$6&gt;=01_Annahmen!$C$23,MIN(01_Annahmen!$C$22*R39,R39),0)</f>
        <v>15419.8862524843</v>
      </c>
    </row>
    <row r="37" customFormat="false" ht="15" hidden="false" customHeight="false" outlineLevel="0" collapsed="false">
      <c r="B37" s="7" t="s">
        <v>179</v>
      </c>
      <c r="D37" s="29" t="n">
        <f aca="false">SUM(E37:S37)</f>
        <v>106250000</v>
      </c>
      <c r="E37" s="29" t="n">
        <f aca="false">MIN(0+E34-E36,E17)</f>
        <v>0</v>
      </c>
      <c r="F37" s="29" t="n">
        <f aca="false">MIN(E39+F34-F36,F17)</f>
        <v>0</v>
      </c>
      <c r="G37" s="29" t="n">
        <f aca="false">MIN(F39+G34-G36,G17)</f>
        <v>0</v>
      </c>
      <c r="H37" s="29" t="n">
        <f aca="false">MIN(G39+H34-H36,H17)</f>
        <v>29250000</v>
      </c>
      <c r="I37" s="29" t="n">
        <f aca="false">MIN(H39+I34-I36,I17)</f>
        <v>0</v>
      </c>
      <c r="J37" s="29" t="n">
        <f aca="false">MIN(I39+J34-J36,J17)</f>
        <v>77000000</v>
      </c>
      <c r="K37" s="29" t="n">
        <f aca="false">MIN(J39+K34-K36,K17)</f>
        <v>0</v>
      </c>
      <c r="L37" s="29" t="n">
        <f aca="false">MIN(K39+L34-L36,L17)</f>
        <v>0</v>
      </c>
      <c r="M37" s="29" t="n">
        <f aca="false">MIN(L39+M34-M36,M17)</f>
        <v>0</v>
      </c>
      <c r="N37" s="29" t="n">
        <f aca="false">MIN(M39+N34-N36,N17)</f>
        <v>0</v>
      </c>
      <c r="O37" s="29" t="n">
        <f aca="false">MIN(N39+O34-O36,O17)</f>
        <v>0</v>
      </c>
      <c r="P37" s="29" t="n">
        <f aca="false">MIN(O39+P34-P36,P17)</f>
        <v>0</v>
      </c>
      <c r="Q37" s="29" t="n">
        <f aca="false">MIN(P39+Q34-Q36,Q17)</f>
        <v>0</v>
      </c>
      <c r="R37" s="29" t="n">
        <f aca="false">MIN(Q39+R34-R36,R17)</f>
        <v>0</v>
      </c>
      <c r="S37" s="29" t="n">
        <f aca="false">MIN(R39+S34-S36,S17)</f>
        <v>0</v>
      </c>
    </row>
    <row r="38" customFormat="false" ht="15" hidden="false" customHeight="false" outlineLevel="0" collapsed="false">
      <c r="B38" s="7" t="s">
        <v>180</v>
      </c>
      <c r="D38" s="29" t="n">
        <f aca="false">SUM(E38:S38)</f>
        <v>1452371.53507875</v>
      </c>
      <c r="E38" s="29" t="n">
        <f aca="false">MAX(0,E35+E36-E12)</f>
        <v>0</v>
      </c>
      <c r="F38" s="29" t="n">
        <f aca="false">MAX(0,F35+F36-F12)</f>
        <v>0</v>
      </c>
      <c r="G38" s="29" t="n">
        <f aca="false">MAX(0,G35+G36-G12)</f>
        <v>367436.3535</v>
      </c>
      <c r="H38" s="29" t="n">
        <f aca="false">MAX(0,H35+H36-H12)</f>
        <v>1084935.18157875</v>
      </c>
      <c r="I38" s="29" t="n">
        <f aca="false">MAX(0,I35+I36-I12)</f>
        <v>0</v>
      </c>
      <c r="J38" s="29" t="n">
        <f aca="false">MAX(0,J35+J36-J12)</f>
        <v>0</v>
      </c>
      <c r="K38" s="29" t="n">
        <f aca="false">MAX(0,K35+K36-K12)</f>
        <v>0</v>
      </c>
      <c r="L38" s="29" t="n">
        <f aca="false">MAX(0,L35+L36-L12)</f>
        <v>0</v>
      </c>
      <c r="M38" s="29" t="n">
        <f aca="false">MAX(0,M35+M36-M12)</f>
        <v>0</v>
      </c>
      <c r="N38" s="29" t="n">
        <f aca="false">MAX(0,N35+N36-N12)</f>
        <v>0</v>
      </c>
      <c r="O38" s="29" t="n">
        <f aca="false">MAX(0,O35+O36-O12)</f>
        <v>0</v>
      </c>
      <c r="P38" s="29" t="n">
        <f aca="false">MAX(0,P35+P36-P12)</f>
        <v>0</v>
      </c>
      <c r="Q38" s="29" t="n">
        <f aca="false">MAX(0,Q35+Q36-Q12)</f>
        <v>0</v>
      </c>
      <c r="R38" s="29" t="n">
        <f aca="false">MAX(0,R35+R36-R12)</f>
        <v>0</v>
      </c>
      <c r="S38" s="29" t="n">
        <f aca="false">MAX(0,S35+S36-S12)</f>
        <v>0</v>
      </c>
    </row>
    <row r="39" customFormat="false" ht="15" hidden="false" customHeight="false" outlineLevel="0" collapsed="false">
      <c r="B39" s="31" t="s">
        <v>181</v>
      </c>
      <c r="C39" s="40" t="s">
        <v>182</v>
      </c>
      <c r="D39" s="32" t="n">
        <f aca="false">MAX(E39:S39)</f>
        <v>58912961.7350788</v>
      </c>
      <c r="E39" s="32" t="n">
        <f aca="false">0+E34+E38-E36-E37</f>
        <v>0</v>
      </c>
      <c r="F39" s="32" t="n">
        <f aca="false">E39+F34+F38-F36-F37</f>
        <v>0</v>
      </c>
      <c r="G39" s="32" t="n">
        <f aca="false">F39+G34+G38-G36-G37</f>
        <v>33028445.5535</v>
      </c>
      <c r="H39" s="32" t="n">
        <f aca="false">G39+H34+H38-H36-H37</f>
        <v>35245172.4350788</v>
      </c>
      <c r="I39" s="32" t="n">
        <f aca="false">H39+I34+I38-I36-I37</f>
        <v>58912961.7350788</v>
      </c>
      <c r="J39" s="32" t="n">
        <f aca="false">I39+J34+J38-J36-J37</f>
        <v>1654378.23507875</v>
      </c>
      <c r="K39" s="32" t="n">
        <f aca="false">J39+K34+K38-K36-K37</f>
        <v>1654378.23507875</v>
      </c>
      <c r="L39" s="32" t="n">
        <f aca="false">K39+L34+L38-L36-L37</f>
        <v>1637834.45272796</v>
      </c>
      <c r="M39" s="32" t="n">
        <f aca="false">L39+M34+M38-M36-M37</f>
        <v>1621456.10820069</v>
      </c>
      <c r="N39" s="32" t="n">
        <f aca="false">M39+N34+N38-N36-N37</f>
        <v>1605241.54711868</v>
      </c>
      <c r="O39" s="32" t="n">
        <f aca="false">N39+O34+O38-O36-O37</f>
        <v>1589189.13164749</v>
      </c>
      <c r="P39" s="32" t="n">
        <f aca="false">O39+P34+P38-P36-P37</f>
        <v>1573297.24033102</v>
      </c>
      <c r="Q39" s="32" t="n">
        <f aca="false">P39+Q34+Q38-Q36-Q37</f>
        <v>1557564.26792771</v>
      </c>
      <c r="R39" s="32" t="n">
        <f aca="false">Q39+R34+R38-R36-R37</f>
        <v>1541988.62524843</v>
      </c>
      <c r="S39" s="32" t="n">
        <f aca="false">R39+S34+S38-S36-S37</f>
        <v>1526568.73899594</v>
      </c>
    </row>
    <row r="40" customFormat="false" ht="15" hidden="false" customHeight="false" outlineLevel="0" collapsed="false">
      <c r="B40" s="7" t="s">
        <v>183</v>
      </c>
      <c r="E40" s="29" t="n">
        <f aca="false">IF(E$6&gt;=01_Annahmen!$O$30,(1-$C$4*01_Annahmen!$P$30)*01_Annahmen!$N$30,0)+IF(E$6&gt;=01_Annahmen!$O$31,(1-$C$4*01_Annahmen!$P$31)*01_Annahmen!$N$31,0)+IF(E$6&gt;=01_Annahmen!$O$32,(1-$C$4*01_Annahmen!$P$32)*01_Annahmen!$N$32,0)+IF(E$6&gt;=01_Annahmen!$O$33,(1-$C$4*01_Annahmen!$P$33)*01_Annahmen!$N$33,0)</f>
        <v>0</v>
      </c>
      <c r="F40" s="29" t="n">
        <f aca="false">IF(F$6&gt;=01_Annahmen!$O$30,(1-$C$4*01_Annahmen!$P$30)*01_Annahmen!$N$30,0)+IF(F$6&gt;=01_Annahmen!$O$31,(1-$C$4*01_Annahmen!$P$31)*01_Annahmen!$N$31,0)+IF(F$6&gt;=01_Annahmen!$O$32,(1-$C$4*01_Annahmen!$P$32)*01_Annahmen!$N$32,0)+IF(F$6&gt;=01_Annahmen!$O$33,(1-$C$4*01_Annahmen!$P$33)*01_Annahmen!$N$33,0)</f>
        <v>0</v>
      </c>
      <c r="G40" s="29" t="n">
        <f aca="false">IF(G$6&gt;=01_Annahmen!$O$30,(1-$C$4*01_Annahmen!$P$30)*01_Annahmen!$N$30,0)+IF(G$6&gt;=01_Annahmen!$O$31,(1-$C$4*01_Annahmen!$P$31)*01_Annahmen!$N$31,0)+IF(G$6&gt;=01_Annahmen!$O$32,(1-$C$4*01_Annahmen!$P$32)*01_Annahmen!$N$32,0)+IF(G$6&gt;=01_Annahmen!$O$33,(1-$C$4*01_Annahmen!$P$33)*01_Annahmen!$N$33,0)</f>
        <v>0</v>
      </c>
      <c r="H40" s="29" t="n">
        <f aca="false">IF(H$6&gt;=01_Annahmen!$O$30,(1-$C$4*01_Annahmen!$P$30)*01_Annahmen!$N$30,0)+IF(H$6&gt;=01_Annahmen!$O$31,(1-$C$4*01_Annahmen!$P$31)*01_Annahmen!$N$31,0)+IF(H$6&gt;=01_Annahmen!$O$32,(1-$C$4*01_Annahmen!$P$32)*01_Annahmen!$N$32,0)+IF(H$6&gt;=01_Annahmen!$O$33,(1-$C$4*01_Annahmen!$P$33)*01_Annahmen!$N$33,0)</f>
        <v>0</v>
      </c>
      <c r="I40" s="29" t="n">
        <f aca="false">IF(I$6&gt;=01_Annahmen!$O$30,(1-$C$4*01_Annahmen!$P$30)*01_Annahmen!$N$30,0)+IF(I$6&gt;=01_Annahmen!$O$31,(1-$C$4*01_Annahmen!$P$31)*01_Annahmen!$N$31,0)+IF(I$6&gt;=01_Annahmen!$O$32,(1-$C$4*01_Annahmen!$P$32)*01_Annahmen!$N$32,0)+IF(I$6&gt;=01_Annahmen!$O$33,(1-$C$4*01_Annahmen!$P$33)*01_Annahmen!$N$33,0)</f>
        <v>72891499.9523255</v>
      </c>
      <c r="J40" s="29" t="n">
        <f aca="false">IF(J$6&gt;=01_Annahmen!$O$30,(1-$C$4*01_Annahmen!$P$30)*01_Annahmen!$N$30,0)+IF(J$6&gt;=01_Annahmen!$O$31,(1-$C$4*01_Annahmen!$P$31)*01_Annahmen!$N$31,0)+IF(J$6&gt;=01_Annahmen!$O$32,(1-$C$4*01_Annahmen!$P$32)*01_Annahmen!$N$32,0)+IF(J$6&gt;=01_Annahmen!$O$33,(1-$C$4*01_Annahmen!$P$33)*01_Annahmen!$N$33,0)</f>
        <v>72891499.9523255</v>
      </c>
      <c r="K40" s="29" t="n">
        <f aca="false">IF(K$6&gt;=01_Annahmen!$O$30,(1-$C$4*01_Annahmen!$P$30)*01_Annahmen!$N$30,0)+IF(K$6&gt;=01_Annahmen!$O$31,(1-$C$4*01_Annahmen!$P$31)*01_Annahmen!$N$31,0)+IF(K$6&gt;=01_Annahmen!$O$32,(1-$C$4*01_Annahmen!$P$32)*01_Annahmen!$N$32,0)+IF(K$6&gt;=01_Annahmen!$O$33,(1-$C$4*01_Annahmen!$P$33)*01_Annahmen!$N$33,0)</f>
        <v>72891499.9523255</v>
      </c>
      <c r="L40" s="29" t="n">
        <f aca="false">IF(L$6&gt;=01_Annahmen!$O$30,(1-$C$4*01_Annahmen!$P$30)*01_Annahmen!$N$30,0)+IF(L$6&gt;=01_Annahmen!$O$31,(1-$C$4*01_Annahmen!$P$31)*01_Annahmen!$N$31,0)+IF(L$6&gt;=01_Annahmen!$O$32,(1-$C$4*01_Annahmen!$P$32)*01_Annahmen!$N$32,0)+IF(L$6&gt;=01_Annahmen!$O$33,(1-$C$4*01_Annahmen!$P$33)*01_Annahmen!$N$33,0)</f>
        <v>72891499.9523255</v>
      </c>
      <c r="M40" s="29" t="n">
        <f aca="false">IF(M$6&gt;=01_Annahmen!$O$30,(1-$C$4*01_Annahmen!$P$30)*01_Annahmen!$N$30,0)+IF(M$6&gt;=01_Annahmen!$O$31,(1-$C$4*01_Annahmen!$P$31)*01_Annahmen!$N$31,0)+IF(M$6&gt;=01_Annahmen!$O$32,(1-$C$4*01_Annahmen!$P$32)*01_Annahmen!$N$32,0)+IF(M$6&gt;=01_Annahmen!$O$33,(1-$C$4*01_Annahmen!$P$33)*01_Annahmen!$N$33,0)</f>
        <v>72891499.9523255</v>
      </c>
      <c r="N40" s="29" t="n">
        <f aca="false">IF(N$6&gt;=01_Annahmen!$O$30,(1-$C$4*01_Annahmen!$P$30)*01_Annahmen!$N$30,0)+IF(N$6&gt;=01_Annahmen!$O$31,(1-$C$4*01_Annahmen!$P$31)*01_Annahmen!$N$31,0)+IF(N$6&gt;=01_Annahmen!$O$32,(1-$C$4*01_Annahmen!$P$32)*01_Annahmen!$N$32,0)+IF(N$6&gt;=01_Annahmen!$O$33,(1-$C$4*01_Annahmen!$P$33)*01_Annahmen!$N$33,0)</f>
        <v>72891499.9523255</v>
      </c>
      <c r="O40" s="29" t="n">
        <f aca="false">IF(O$6&gt;=01_Annahmen!$O$30,(1-$C$4*01_Annahmen!$P$30)*01_Annahmen!$N$30,0)+IF(O$6&gt;=01_Annahmen!$O$31,(1-$C$4*01_Annahmen!$P$31)*01_Annahmen!$N$31,0)+IF(O$6&gt;=01_Annahmen!$O$32,(1-$C$4*01_Annahmen!$P$32)*01_Annahmen!$N$32,0)+IF(O$6&gt;=01_Annahmen!$O$33,(1-$C$4*01_Annahmen!$P$33)*01_Annahmen!$N$33,0)</f>
        <v>72891499.9523255</v>
      </c>
      <c r="P40" s="29" t="n">
        <f aca="false">IF(P$6&gt;=01_Annahmen!$O$30,(1-$C$4*01_Annahmen!$P$30)*01_Annahmen!$N$30,0)+IF(P$6&gt;=01_Annahmen!$O$31,(1-$C$4*01_Annahmen!$P$31)*01_Annahmen!$N$31,0)+IF(P$6&gt;=01_Annahmen!$O$32,(1-$C$4*01_Annahmen!$P$32)*01_Annahmen!$N$32,0)+IF(P$6&gt;=01_Annahmen!$O$33,(1-$C$4*01_Annahmen!$P$33)*01_Annahmen!$N$33,0)</f>
        <v>72891499.9523255</v>
      </c>
      <c r="Q40" s="29" t="n">
        <f aca="false">IF(Q$6&gt;=01_Annahmen!$O$30,(1-$C$4*01_Annahmen!$P$30)*01_Annahmen!$N$30,0)+IF(Q$6&gt;=01_Annahmen!$O$31,(1-$C$4*01_Annahmen!$P$31)*01_Annahmen!$N$31,0)+IF(Q$6&gt;=01_Annahmen!$O$32,(1-$C$4*01_Annahmen!$P$32)*01_Annahmen!$N$32,0)+IF(Q$6&gt;=01_Annahmen!$O$33,(1-$C$4*01_Annahmen!$P$33)*01_Annahmen!$N$33,0)</f>
        <v>72891499.9523255</v>
      </c>
      <c r="R40" s="29" t="n">
        <f aca="false">IF(R$6&gt;=01_Annahmen!$O$30,(1-$C$4*01_Annahmen!$P$30)*01_Annahmen!$N$30,0)+IF(R$6&gt;=01_Annahmen!$O$31,(1-$C$4*01_Annahmen!$P$31)*01_Annahmen!$N$31,0)+IF(R$6&gt;=01_Annahmen!$O$32,(1-$C$4*01_Annahmen!$P$32)*01_Annahmen!$N$32,0)+IF(R$6&gt;=01_Annahmen!$O$33,(1-$C$4*01_Annahmen!$P$33)*01_Annahmen!$N$33,0)</f>
        <v>72891499.9523255</v>
      </c>
      <c r="S40" s="29" t="n">
        <f aca="false">IF(S$6&gt;=01_Annahmen!$O$30,(1-$C$4*01_Annahmen!$P$30)*01_Annahmen!$N$30,0)+IF(S$6&gt;=01_Annahmen!$O$31,(1-$C$4*01_Annahmen!$P$31)*01_Annahmen!$N$31,0)+IF(S$6&gt;=01_Annahmen!$O$32,(1-$C$4*01_Annahmen!$P$32)*01_Annahmen!$N$32,0)+IF(S$6&gt;=01_Annahmen!$O$33,(1-$C$4*01_Annahmen!$P$33)*01_Annahmen!$N$33,0)</f>
        <v>72891499.9523255</v>
      </c>
    </row>
    <row r="41" customFormat="false" ht="15" hidden="false" customHeight="false" outlineLevel="0" collapsed="false">
      <c r="B41" s="7" t="s">
        <v>184</v>
      </c>
      <c r="E41" s="35" t="n">
        <f aca="false">IF(E40=0,0,E39/E40)</f>
        <v>0</v>
      </c>
      <c r="F41" s="35" t="n">
        <f aca="false">IF(F40=0,0,F39/F40)</f>
        <v>0</v>
      </c>
      <c r="G41" s="35" t="n">
        <f aca="false">IF(G40=0,0,G39/G40)</f>
        <v>0</v>
      </c>
      <c r="H41" s="35" t="n">
        <f aca="false">IF(H40=0,0,H39/H40)</f>
        <v>0</v>
      </c>
      <c r="I41" s="35" t="n">
        <f aca="false">IF(I40=0,0,I39/I40)</f>
        <v>0.808228144209004</v>
      </c>
      <c r="J41" s="35" t="n">
        <f aca="false">IF(J40=0,0,J39/J40)</f>
        <v>0.0226964493275731</v>
      </c>
      <c r="K41" s="35" t="n">
        <f aca="false">IF(K40=0,0,K39/K40)</f>
        <v>0.0226964493275731</v>
      </c>
      <c r="L41" s="35" t="n">
        <f aca="false">IF(L40=0,0,L39/L40)</f>
        <v>0.0224694848342974</v>
      </c>
      <c r="M41" s="35" t="n">
        <f aca="false">IF(M40=0,0,M39/M40)</f>
        <v>0.0222447899859544</v>
      </c>
      <c r="N41" s="35" t="n">
        <f aca="false">IF(N40=0,0,N39/N40)</f>
        <v>0.0220223420860948</v>
      </c>
      <c r="O41" s="35" t="n">
        <f aca="false">IF(O40=0,0,O39/O40)</f>
        <v>0.0218021186652339</v>
      </c>
      <c r="P41" s="35" t="n">
        <f aca="false">IF(P40=0,0,P39/P40)</f>
        <v>0.0215840974785816</v>
      </c>
      <c r="Q41" s="35" t="n">
        <f aca="false">IF(Q40=0,0,Q39/Q40)</f>
        <v>0.0213682565037957</v>
      </c>
      <c r="R41" s="35" t="n">
        <f aca="false">IF(R40=0,0,R39/R40)</f>
        <v>0.0211545739387578</v>
      </c>
      <c r="S41" s="35" t="n">
        <f aca="false">IF(S40=0,0,S39/S40)</f>
        <v>0.0209430281993702</v>
      </c>
    </row>
    <row r="42" customFormat="false" ht="15" hidden="false" customHeight="false" outlineLevel="0" collapsed="false">
      <c r="B42" s="7" t="s">
        <v>185</v>
      </c>
      <c r="E42" s="35" t="n">
        <f aca="false">E39/02_Investitionen!$D$18</f>
        <v>0</v>
      </c>
      <c r="F42" s="35" t="n">
        <f aca="false">F39/02_Investitionen!$D$18</f>
        <v>0</v>
      </c>
      <c r="G42" s="35" t="n">
        <f aca="false">G39/02_Investitionen!$D$18</f>
        <v>0.20167294422431</v>
      </c>
      <c r="H42" s="35" t="n">
        <f aca="false">H39/02_Investitionen!$D$18</f>
        <v>0.215208362838699</v>
      </c>
      <c r="I42" s="35" t="n">
        <f aca="false">I39/02_Investitionen!$D$18</f>
        <v>0.359724784105936</v>
      </c>
      <c r="J42" s="35" t="n">
        <f aca="false">J39/02_Investitionen!$D$18</f>
        <v>0.0101016963995023</v>
      </c>
      <c r="K42" s="35" t="n">
        <f aca="false">K39/02_Investitionen!$D$18</f>
        <v>0.0101016963995023</v>
      </c>
      <c r="L42" s="35" t="n">
        <f aca="false">L39/02_Investitionen!$D$18</f>
        <v>0.0100006794355073</v>
      </c>
      <c r="M42" s="35" t="n">
        <f aca="false">M39/02_Investitionen!$D$18</f>
        <v>0.00990067264115224</v>
      </c>
      <c r="N42" s="35" t="n">
        <f aca="false">N39/02_Investitionen!$D$18</f>
        <v>0.00980166591474072</v>
      </c>
      <c r="O42" s="35" t="n">
        <f aca="false">O39/02_Investitionen!$D$18</f>
        <v>0.00970364925559331</v>
      </c>
      <c r="P42" s="35" t="n">
        <f aca="false">P39/02_Investitionen!$D$18</f>
        <v>0.00960661276303738</v>
      </c>
      <c r="Q42" s="35" t="n">
        <f aca="false">Q39/02_Investitionen!$D$18</f>
        <v>0.00951054663540701</v>
      </c>
      <c r="R42" s="35" t="n">
        <f aca="false">R39/02_Investitionen!$D$18</f>
        <v>0.00941544116905294</v>
      </c>
      <c r="S42" s="35" t="n">
        <f aca="false">S39/02_Investitionen!$D$18</f>
        <v>0.00932128675736241</v>
      </c>
    </row>
    <row r="43" customFormat="false" ht="15" hidden="false" customHeight="false" outlineLevel="0" collapsed="false">
      <c r="B43" s="7" t="s">
        <v>186</v>
      </c>
      <c r="E43" s="41" t="n">
        <f aca="false">IF(E35+E36=0,0,E12/(E35+E36))</f>
        <v>0</v>
      </c>
      <c r="F43" s="41" t="n">
        <f aca="false">IF(F35+F36=0,0,F12/(F35+F36))</f>
        <v>0</v>
      </c>
      <c r="G43" s="41" t="n">
        <f aca="false">IF(G35+G36=0,0,G12/(G35+G36))</f>
        <v>0</v>
      </c>
      <c r="H43" s="41" t="n">
        <f aca="false">IF(H35+H36=0,0,H12/(H35+H36))</f>
        <v>0</v>
      </c>
      <c r="I43" s="41" t="n">
        <f aca="false">IF(I35+I36=0,0,I12/(I35+I36))</f>
        <v>1.72807409637257</v>
      </c>
      <c r="J43" s="41" t="n">
        <f aca="false">IF(J35+J36=0,0,J12/(J35+J36))</f>
        <v>1.74947901279255</v>
      </c>
      <c r="K43" s="41" t="n">
        <f aca="false">IF(K35+K36=0,0,K12/(K35+K36))</f>
        <v>96.6675154640141</v>
      </c>
      <c r="L43" s="41" t="n">
        <f aca="false">IF(L35+L36=0,0,L12/(L35+L36))</f>
        <v>67.4507534815618</v>
      </c>
      <c r="M43" s="41" t="n">
        <f aca="false">IF(M35+M36=0,0,M12/(M35+M36))</f>
        <v>68.6686865994202</v>
      </c>
      <c r="N43" s="41" t="n">
        <f aca="false">IF(N35+N36=0,0,N12/(N35+N36))</f>
        <v>69.9086176360704</v>
      </c>
      <c r="O43" s="41" t="n">
        <f aca="false">IF(O35+O36=0,0,O12/(O35+O36))</f>
        <v>71.1709440222864</v>
      </c>
      <c r="P43" s="41" t="n">
        <f aca="false">IF(P35+P36=0,0,P12/(P35+P36))</f>
        <v>72.4560703711379</v>
      </c>
      <c r="Q43" s="41" t="n">
        <f aca="false">IF(Q35+Q36=0,0,Q12/(Q35+Q36))</f>
        <v>73.7644086078241</v>
      </c>
      <c r="R43" s="41" t="n">
        <f aca="false">IF(R35+R36=0,0,R12/(R35+R36))</f>
        <v>75.0963781018549</v>
      </c>
      <c r="S43" s="41" t="n">
        <f aca="false">IF(S35+S36=0,0,S12/(S35+S36))</f>
        <v>76.4524058016219</v>
      </c>
    </row>
    <row r="44" customFormat="false" ht="15" hidden="false" customHeight="false" outlineLevel="0" collapsed="false">
      <c r="B44" s="7" t="s">
        <v>187</v>
      </c>
      <c r="E44" s="41" t="n">
        <f aca="false">IF(E35=0,0,E12/E35)</f>
        <v>0</v>
      </c>
      <c r="F44" s="41" t="n">
        <f aca="false">IF(F35=0,0,F12/F35)</f>
        <v>0</v>
      </c>
      <c r="G44" s="41" t="n">
        <f aca="false">IF(G35=0,0,G12/G35)</f>
        <v>0</v>
      </c>
      <c r="H44" s="41" t="n">
        <f aca="false">IF(H35=0,0,H12/H35)</f>
        <v>0</v>
      </c>
      <c r="I44" s="41" t="n">
        <f aca="false">IF(I35=0,0,I12/I35)</f>
        <v>1.72807409637257</v>
      </c>
      <c r="J44" s="41" t="n">
        <f aca="false">IF(J35=0,0,J12/J35)</f>
        <v>1.74947901279255</v>
      </c>
      <c r="K44" s="41" t="n">
        <f aca="false">IF(K35=0,0,K12/K35)</f>
        <v>96.6675154640141</v>
      </c>
      <c r="L44" s="41" t="n">
        <f aca="false">IF(L35=0,0,L12/L35)</f>
        <v>97.4288661400338</v>
      </c>
      <c r="M44" s="41" t="n">
        <f aca="false">IF(M35=0,0,M12/M35)</f>
        <v>99.1881028658291</v>
      </c>
      <c r="N44" s="41" t="n">
        <f aca="false">IF(N35=0,0,N12/N35)</f>
        <v>100.979114363213</v>
      </c>
      <c r="O44" s="41" t="n">
        <f aca="false">IF(O35=0,0,O12/O35)</f>
        <v>102.802474698858</v>
      </c>
      <c r="P44" s="41" t="n">
        <f aca="false">IF(P35=0,0,P12/P35)</f>
        <v>104.658768313866</v>
      </c>
      <c r="Q44" s="41" t="n">
        <f aca="false">IF(Q35=0,0,Q12/Q35)</f>
        <v>106.548590211302</v>
      </c>
      <c r="R44" s="41" t="n">
        <f aca="false">IF(R35=0,0,R12/R35)</f>
        <v>108.472546147124</v>
      </c>
      <c r="S44" s="41" t="n">
        <f aca="false">IF(S35=0,0,S12/S35)</f>
        <v>110.431252824565</v>
      </c>
    </row>
    <row r="46" customFormat="false" ht="15" hidden="false" customHeight="false" outlineLevel="0" collapsed="false">
      <c r="B46" s="16" t="s">
        <v>188</v>
      </c>
    </row>
    <row r="47" customFormat="false" ht="15" hidden="false" customHeight="false" outlineLevel="0" collapsed="false">
      <c r="B47" s="7" t="s">
        <v>189</v>
      </c>
      <c r="D47" s="29" t="n">
        <f aca="false">SUM(E47:S47)</f>
        <v>34902531.4695962</v>
      </c>
      <c r="E47" s="29" t="n">
        <f aca="false">MAX(0,E12-E35-E36)+E17-E37</f>
        <v>0</v>
      </c>
      <c r="F47" s="29" t="n">
        <f aca="false">MAX(0,F12-F35-F36)+F17-F37</f>
        <v>0</v>
      </c>
      <c r="G47" s="29" t="n">
        <f aca="false">MAX(0,G12-G35-G36)+G17-G37</f>
        <v>0</v>
      </c>
      <c r="H47" s="29" t="n">
        <f aca="false">MAX(0,H12-H35-H36)+H17-H37</f>
        <v>0</v>
      </c>
      <c r="I47" s="29" t="n">
        <f aca="false">MAX(0,I12-I35-I36)+I17-I37</f>
        <v>771233.607585728</v>
      </c>
      <c r="J47" s="29" t="n">
        <f aca="false">MAX(0,J12-J35-J36)+J17-J37</f>
        <v>1159918.13422497</v>
      </c>
      <c r="K47" s="29" t="n">
        <f aca="false">MAX(0,K12-K35-K36)+K17-K37</f>
        <v>3561080.74622381</v>
      </c>
      <c r="L47" s="29" t="n">
        <f aca="false">MAX(0,L12-L35-L36)+L17-L37</f>
        <v>3572877.10859558</v>
      </c>
      <c r="M47" s="29" t="n">
        <f aca="false">MAX(0,M12-M35-M36)+M17-M37</f>
        <v>3601978.4542099</v>
      </c>
      <c r="N47" s="29" t="n">
        <f aca="false">MAX(0,N12-N35-N36)+N17-N37</f>
        <v>3631299.71664433</v>
      </c>
      <c r="O47" s="29" t="n">
        <f aca="false">MAX(0,O12-O35-O36)+O17-O37</f>
        <v>3660842.72921618</v>
      </c>
      <c r="P47" s="29" t="n">
        <f aca="false">MAX(0,P12-P35-P36)+P17-P37</f>
        <v>3690609.33878165</v>
      </c>
      <c r="Q47" s="29" t="n">
        <f aca="false">MAX(0,Q12-Q35-Q36)+Q17-Q37</f>
        <v>3720601.40585277</v>
      </c>
      <c r="R47" s="29" t="n">
        <f aca="false">MAX(0,R12-R35-R36)+R17-R37</f>
        <v>3750820.80471508</v>
      </c>
      <c r="S47" s="29" t="n">
        <f aca="false">MAX(0,S12-S35-S36)+S17-S37</f>
        <v>3781269.42354621</v>
      </c>
    </row>
    <row r="48" customFormat="false" ht="15" hidden="false" customHeight="false" outlineLevel="0" collapsed="false">
      <c r="B48" s="31" t="s">
        <v>190</v>
      </c>
      <c r="C48" s="31"/>
      <c r="D48" s="32" t="n">
        <f aca="false">SUM(E48:S48)</f>
        <v>53144238.564067</v>
      </c>
      <c r="E48" s="32" t="n">
        <f aca="false">E19-E33+E47</f>
        <v>-47363959</v>
      </c>
      <c r="F48" s="32" t="n">
        <f aca="false">F19-F33+F47</f>
        <v>-6375000</v>
      </c>
      <c r="G48" s="32" t="n">
        <f aca="false">G19-G33+G47</f>
        <v>-3581352.3</v>
      </c>
      <c r="H48" s="32" t="n">
        <f aca="false">H19-H33+H47</f>
        <v>0</v>
      </c>
      <c r="I48" s="32" t="n">
        <f aca="false">I19-I33+I47</f>
        <v>771233.607585728</v>
      </c>
      <c r="J48" s="32" t="n">
        <f aca="false">J19-J33+J47</f>
        <v>1159918.13422497</v>
      </c>
      <c r="K48" s="32" t="n">
        <f aca="false">K19-K33+K47</f>
        <v>3561080.74622381</v>
      </c>
      <c r="L48" s="32" t="n">
        <f aca="false">L19-L33+L47</f>
        <v>3572877.10859558</v>
      </c>
      <c r="M48" s="32" t="n">
        <f aca="false">M19-M33+M47</f>
        <v>3601978.4542099</v>
      </c>
      <c r="N48" s="32" t="n">
        <f aca="false">N19-N33+N47</f>
        <v>3631299.71664433</v>
      </c>
      <c r="O48" s="32" t="n">
        <f aca="false">O19-O33+O47</f>
        <v>3660842.72921618</v>
      </c>
      <c r="P48" s="32" t="n">
        <f aca="false">P19-P33+P47</f>
        <v>3690609.33878165</v>
      </c>
      <c r="Q48" s="32" t="n">
        <f aca="false">Q19-Q33+Q47</f>
        <v>3720601.40585277</v>
      </c>
      <c r="R48" s="32" t="n">
        <f aca="false">R19-R33+R47</f>
        <v>3750820.80471508</v>
      </c>
      <c r="S48" s="32" t="n">
        <f aca="false">S19-S33+S47+S24-S39</f>
        <v>79343287.818017</v>
      </c>
    </row>
    <row r="50" customFormat="false" ht="15" hidden="false" customHeight="false" outlineLevel="0" collapsed="false">
      <c r="B50" s="16" t="s">
        <v>191</v>
      </c>
    </row>
    <row r="51" customFormat="false" ht="19.5" hidden="false" customHeight="true" outlineLevel="0" collapsed="false">
      <c r="B51" s="3" t="s">
        <v>2</v>
      </c>
      <c r="C51" s="4"/>
      <c r="D51" s="4" t="s">
        <v>44</v>
      </c>
      <c r="E51" s="4" t="s">
        <v>5</v>
      </c>
    </row>
    <row r="52" customFormat="false" ht="15" hidden="false" customHeight="false" outlineLevel="0" collapsed="false">
      <c r="B52" s="7" t="s">
        <v>6</v>
      </c>
      <c r="C52" s="29" t="n">
        <f aca="false">02_Investitionen!$D$18</f>
        <v>163772318</v>
      </c>
      <c r="D52" s="7" t="s">
        <v>7</v>
      </c>
    </row>
    <row r="53" customFormat="false" ht="15" hidden="false" customHeight="false" outlineLevel="0" collapsed="false">
      <c r="B53" s="7" t="s">
        <v>8</v>
      </c>
      <c r="C53" s="29" t="n">
        <f aca="false">01_Annahmen!$C$25</f>
        <v>46101459</v>
      </c>
      <c r="D53" s="7" t="s">
        <v>7</v>
      </c>
    </row>
    <row r="54" customFormat="false" ht="15" hidden="false" customHeight="false" outlineLevel="0" collapsed="false">
      <c r="B54" s="7" t="s">
        <v>9</v>
      </c>
      <c r="C54" s="29" t="n">
        <f aca="false">D33</f>
        <v>11218852.3</v>
      </c>
      <c r="D54" s="7" t="s">
        <v>7</v>
      </c>
    </row>
    <row r="55" customFormat="false" ht="15" hidden="false" customHeight="false" outlineLevel="0" collapsed="false">
      <c r="B55" s="7" t="s">
        <v>10</v>
      </c>
      <c r="C55" s="35" t="n">
        <f aca="false">(01_Annahmen!$C$25+D33)/02_Investitionen!$D$18</f>
        <v>0.35</v>
      </c>
      <c r="D55" s="7" t="s">
        <v>11</v>
      </c>
    </row>
    <row r="56" customFormat="false" ht="15" hidden="false" customHeight="false" outlineLevel="0" collapsed="false">
      <c r="B56" s="7" t="s">
        <v>12</v>
      </c>
      <c r="C56" s="29" t="n">
        <f aca="false">01_Annahmen!$C$18*02_Investitionen!$D$18</f>
        <v>106452006.7</v>
      </c>
      <c r="D56" s="7" t="s">
        <v>7</v>
      </c>
    </row>
    <row r="57" customFormat="false" ht="15" hidden="false" customHeight="false" outlineLevel="0" collapsed="false">
      <c r="B57" s="5" t="s">
        <v>13</v>
      </c>
      <c r="C57" s="34" t="n">
        <f aca="false">D39</f>
        <v>58912961.7350788</v>
      </c>
      <c r="D57" s="7" t="s">
        <v>7</v>
      </c>
    </row>
    <row r="58" customFormat="false" ht="15" hidden="false" customHeight="false" outlineLevel="0" collapsed="false">
      <c r="B58" s="5" t="s">
        <v>14</v>
      </c>
      <c r="C58" s="33" t="n">
        <f aca="false">D39/02_Investitionen!$D$18</f>
        <v>0.359724784105936</v>
      </c>
      <c r="D58" s="7" t="s">
        <v>11</v>
      </c>
    </row>
    <row r="59" customFormat="false" ht="15" hidden="false" customHeight="false" outlineLevel="0" collapsed="false">
      <c r="B59" s="7" t="s">
        <v>15</v>
      </c>
      <c r="C59" s="29" t="n">
        <f aca="false">K39</f>
        <v>1654378.23507875</v>
      </c>
      <c r="D59" s="7" t="s">
        <v>7</v>
      </c>
    </row>
    <row r="60" customFormat="false" ht="15" hidden="false" customHeight="false" outlineLevel="0" collapsed="false">
      <c r="B60" s="7" t="s">
        <v>16</v>
      </c>
      <c r="C60" s="29" t="n">
        <f aca="false">L40</f>
        <v>72891499.9523255</v>
      </c>
      <c r="D60" s="7" t="s">
        <v>7</v>
      </c>
    </row>
    <row r="61" customFormat="false" ht="15" hidden="false" customHeight="false" outlineLevel="0" collapsed="false">
      <c r="B61" s="7" t="s">
        <v>17</v>
      </c>
      <c r="C61" s="29" t="n">
        <f aca="false">01_Annahmen!$C$21*L40</f>
        <v>43734899.9713953</v>
      </c>
      <c r="D61" s="7" t="s">
        <v>7</v>
      </c>
    </row>
    <row r="62" customFormat="false" ht="15" hidden="false" customHeight="false" outlineLevel="0" collapsed="false">
      <c r="B62" s="5" t="s">
        <v>18</v>
      </c>
      <c r="C62" s="34" t="n">
        <f aca="false">MAX(0,K39-01_Annahmen!$C$21*L40)</f>
        <v>0</v>
      </c>
      <c r="D62" s="7" t="s">
        <v>7</v>
      </c>
    </row>
    <row r="63" customFormat="false" ht="15" hidden="false" customHeight="false" outlineLevel="0" collapsed="false">
      <c r="B63" s="7" t="s">
        <v>19</v>
      </c>
      <c r="C63" s="35" t="n">
        <f aca="false">L41</f>
        <v>0.0224694848342974</v>
      </c>
      <c r="D63" s="7" t="s">
        <v>11</v>
      </c>
    </row>
    <row r="64" customFormat="false" ht="15" hidden="false" customHeight="false" outlineLevel="0" collapsed="false">
      <c r="B64" s="5" t="s">
        <v>20</v>
      </c>
      <c r="C64" s="42" t="n">
        <f aca="false">MIN(L43:S43)</f>
        <v>67.4507534815618</v>
      </c>
      <c r="D64" s="7" t="s">
        <v>21</v>
      </c>
    </row>
    <row r="65" customFormat="false" ht="15" hidden="false" customHeight="false" outlineLevel="0" collapsed="false">
      <c r="B65" s="7" t="s">
        <v>22</v>
      </c>
      <c r="C65" s="41" t="n">
        <f aca="false">L44</f>
        <v>97.4288661400338</v>
      </c>
      <c r="D65" s="7" t="s">
        <v>21</v>
      </c>
    </row>
    <row r="66" customFormat="false" ht="15" hidden="false" customHeight="false" outlineLevel="0" collapsed="false">
      <c r="B66" s="7" t="s">
        <v>23</v>
      </c>
      <c r="C66" s="29" t="n">
        <f aca="false">L12</f>
        <v>3626644.40123564</v>
      </c>
      <c r="D66" s="7" t="s">
        <v>7</v>
      </c>
    </row>
    <row r="67" customFormat="false" ht="15" hidden="false" customHeight="false" outlineLevel="0" collapsed="false">
      <c r="B67" s="7" t="s">
        <v>24</v>
      </c>
      <c r="C67" s="29" t="n">
        <f aca="false">D17</f>
        <v>106250000</v>
      </c>
      <c r="D67" s="7" t="s">
        <v>7</v>
      </c>
    </row>
    <row r="68" customFormat="false" ht="15" hidden="false" customHeight="false" outlineLevel="0" collapsed="false">
      <c r="B68" s="5" t="s">
        <v>25</v>
      </c>
      <c r="C68" s="34" t="n">
        <f aca="false">D27</f>
        <v>-5936249.30863811</v>
      </c>
      <c r="D68" s="7" t="s">
        <v>7</v>
      </c>
    </row>
    <row r="69" customFormat="false" ht="15" hidden="false" customHeight="false" outlineLevel="0" collapsed="false">
      <c r="B69" s="7" t="s">
        <v>26</v>
      </c>
      <c r="C69" s="20" t="n">
        <f aca="false">IRR(E25:S25)</f>
        <v>0.051652123589766</v>
      </c>
      <c r="D69" s="7" t="s">
        <v>11</v>
      </c>
    </row>
    <row r="70" customFormat="false" ht="15" hidden="false" customHeight="false" outlineLevel="0" collapsed="false">
      <c r="B70" s="5" t="s">
        <v>27</v>
      </c>
      <c r="C70" s="22" t="n">
        <f aca="false">IRR(E48:S48)</f>
        <v>0.0550428129907122</v>
      </c>
      <c r="D70" s="7" t="s">
        <v>11</v>
      </c>
    </row>
    <row r="71" customFormat="false" ht="15" hidden="false" customHeight="false" outlineLevel="0" collapsed="false">
      <c r="B71" s="7" t="s">
        <v>28</v>
      </c>
      <c r="C71" s="41" t="n">
        <f aca="false">SUMIF(E48:S48,"&gt;0")/-SUMIF(E48:S48,"&lt;0")</f>
        <v>1.92714497459589</v>
      </c>
      <c r="D71" s="7" t="s">
        <v>21</v>
      </c>
    </row>
    <row r="72" customFormat="false" ht="15" hidden="false" customHeight="false" outlineLevel="0" collapsed="false">
      <c r="B72" s="7" t="s">
        <v>29</v>
      </c>
      <c r="C72" s="29" t="n">
        <f aca="false">D24</f>
        <v>77088587.1334667</v>
      </c>
      <c r="D72" s="7" t="s">
        <v>7</v>
      </c>
    </row>
    <row r="73" customFormat="false" ht="15" hidden="false" customHeight="false" outlineLevel="0" collapsed="false">
      <c r="B73" s="7" t="s">
        <v>30</v>
      </c>
      <c r="C73" s="29" t="n">
        <f aca="false">S24*S26</f>
        <v>34238065.605107</v>
      </c>
      <c r="D73" s="7" t="s">
        <v>7</v>
      </c>
    </row>
    <row r="74" customFormat="false" ht="15" hidden="false" customHeight="false" outlineLevel="0" collapsed="false">
      <c r="B74" s="7" t="s">
        <v>32</v>
      </c>
      <c r="C74" s="7" t="str">
        <f aca="false">IF(C64&gt;=01_Annahmen!$C$24,"ja","nein")</f>
        <v>ja</v>
      </c>
      <c r="D74" s="7"/>
    </row>
    <row r="75" customFormat="false" ht="15" hidden="false" customHeight="false" outlineLevel="0" collapsed="false">
      <c r="B75" s="7" t="s">
        <v>33</v>
      </c>
      <c r="C75" s="7" t="str">
        <f aca="false">IF(C57&lt;=C56+1,"ja","nein")</f>
        <v>ja</v>
      </c>
      <c r="D75" s="7"/>
    </row>
    <row r="76" customFormat="false" ht="15" hidden="false" customHeight="false" outlineLevel="0" collapsed="false">
      <c r="B76" s="7" t="s">
        <v>34</v>
      </c>
      <c r="C76" s="29" t="n">
        <f aca="false">MAX(0,C57-C56)</f>
        <v>0</v>
      </c>
      <c r="D76" s="7" t="s">
        <v>7</v>
      </c>
    </row>
    <row r="77" customFormat="false" ht="15" hidden="false" customHeight="false" outlineLevel="0" collapsed="false">
      <c r="B77" s="7" t="s">
        <v>31</v>
      </c>
      <c r="C77" s="29" t="n">
        <f aca="false">C53+C68</f>
        <v>40165209.6913619</v>
      </c>
      <c r="D77" s="7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7" min="3" style="0" width="14"/>
  </cols>
  <sheetData>
    <row r="2" customFormat="false" ht="18.55" hidden="false" customHeight="false" outlineLevel="0" collapsed="false">
      <c r="B2" s="1" t="s">
        <v>194</v>
      </c>
    </row>
    <row r="3" customFormat="false" ht="15" hidden="false" customHeight="false" outlineLevel="0" collapsed="false">
      <c r="B3" s="2" t="s">
        <v>195</v>
      </c>
    </row>
    <row r="5" customFormat="false" ht="15" hidden="false" customHeight="false" outlineLevel="0" collapsed="false">
      <c r="B5" s="16" t="s">
        <v>196</v>
      </c>
    </row>
    <row r="6" customFormat="false" ht="21.75" hidden="false" customHeight="true" outlineLevel="0" collapsed="false">
      <c r="B6" s="3" t="s">
        <v>197</v>
      </c>
      <c r="C6" s="4" t="s">
        <v>198</v>
      </c>
      <c r="D6" s="4" t="s">
        <v>199</v>
      </c>
      <c r="E6" s="4" t="s">
        <v>200</v>
      </c>
      <c r="F6" s="4" t="s">
        <v>201</v>
      </c>
    </row>
    <row r="7" customFormat="false" ht="15" hidden="false" customHeight="false" outlineLevel="0" collapsed="false">
      <c r="B7" s="7" t="s">
        <v>202</v>
      </c>
      <c r="C7" s="43" t="n">
        <f aca="false">(SUMPRODUCT(('03_DCF Bestand'!$E$25:$S$25-'03_DCF Bestand'!$E$24:$S$24)/(1+(01_Annahmen!$C$12+-0.01))^('03_DCF Bestand'!$E$6:$S$6-2026))+SUMPRODUCT('03_DCF Bestand'!$T$20:$T$23/('03_DCF Bestand'!$U$20:$U$23+01_Annahmen!$C$13+0))/(1+(01_Annahmen!$C$12+-0.01))^(2040-2026))/1000000</f>
        <v>-16.9128466691342</v>
      </c>
      <c r="D7" s="43" t="n">
        <f aca="false">(SUMPRODUCT(('03_DCF Bestand'!$E$25:$S$25-'03_DCF Bestand'!$E$24:$S$24)/(1+(01_Annahmen!$C$12+-0.01))^('03_DCF Bestand'!$E$6:$S$6-2026))+SUMPRODUCT('03_DCF Bestand'!$T$20:$T$23/('03_DCF Bestand'!$U$20:$U$23+01_Annahmen!$C$13+0.0025))/(1+(01_Annahmen!$C$12+-0.01))^(2040-2026))/1000000</f>
        <v>-21.8886496896244</v>
      </c>
      <c r="E7" s="43" t="n">
        <f aca="false">(SUMPRODUCT(('03_DCF Bestand'!$E$25:$S$25-'03_DCF Bestand'!$E$24:$S$24)/(1+(01_Annahmen!$C$12+-0.01))^('03_DCF Bestand'!$E$6:$S$6-2026))+SUMPRODUCT('03_DCF Bestand'!$T$20:$T$23/('03_DCF Bestand'!$U$20:$U$23+01_Annahmen!$C$13+0.005))/(1+(01_Annahmen!$C$12+-0.01))^(2040-2026))/1000000</f>
        <v>-26.3153925961395</v>
      </c>
      <c r="F7" s="43" t="n">
        <f aca="false">(SUMPRODUCT(('03_DCF Bestand'!$E$25:$S$25-'03_DCF Bestand'!$E$24:$S$24)/(1+(01_Annahmen!$C$12+-0.01))^('03_DCF Bestand'!$E$6:$S$6-2026))+SUMPRODUCT('03_DCF Bestand'!$T$20:$T$23/('03_DCF Bestand'!$U$20:$U$23+01_Annahmen!$C$13+0.01))/(1+(01_Annahmen!$C$12+-0.01))^(2040-2026))/1000000</f>
        <v>-33.8540697974623</v>
      </c>
    </row>
    <row r="8" customFormat="false" ht="15" hidden="false" customHeight="false" outlineLevel="0" collapsed="false">
      <c r="B8" s="7" t="s">
        <v>203</v>
      </c>
      <c r="C8" s="43" t="n">
        <f aca="false">(SUMPRODUCT(('03_DCF Bestand'!$E$25:$S$25-'03_DCF Bestand'!$E$24:$S$24)/(1+(01_Annahmen!$C$12+-0.005))^('03_DCF Bestand'!$E$6:$S$6-2026))+SUMPRODUCT('03_DCF Bestand'!$T$20:$T$23/('03_DCF Bestand'!$U$20:$U$23+01_Annahmen!$C$13+0))/(1+(01_Annahmen!$C$12+-0.005))^(2040-2026))/1000000</f>
        <v>-22.9184700930573</v>
      </c>
      <c r="D8" s="43" t="n">
        <f aca="false">(SUMPRODUCT(('03_DCF Bestand'!$E$25:$S$25-'03_DCF Bestand'!$E$24:$S$24)/(1+(01_Annahmen!$C$12+-0.005))^('03_DCF Bestand'!$E$6:$S$6-2026))+SUMPRODUCT('03_DCF Bestand'!$T$20:$T$23/('03_DCF Bestand'!$U$20:$U$23+01_Annahmen!$C$13+0.0025))/(1+(01_Annahmen!$C$12+-0.005))^(2040-2026))/1000000</f>
        <v>-27.5740127705335</v>
      </c>
      <c r="E8" s="43" t="n">
        <f aca="false">(SUMPRODUCT(('03_DCF Bestand'!$E$25:$S$25-'03_DCF Bestand'!$E$24:$S$24)/(1+(01_Annahmen!$C$12+-0.005))^('03_DCF Bestand'!$E$6:$S$6-2026))+SUMPRODUCT('03_DCF Bestand'!$T$20:$T$23/('03_DCF Bestand'!$U$20:$U$23+01_Annahmen!$C$13+0.005))/(1+(01_Annahmen!$C$12+-0.005))^(2040-2026))/1000000</f>
        <v>-31.7158347917487</v>
      </c>
      <c r="F8" s="43" t="n">
        <f aca="false">(SUMPRODUCT(('03_DCF Bestand'!$E$25:$S$25-'03_DCF Bestand'!$E$24:$S$24)/(1+(01_Annahmen!$C$12+-0.005))^('03_DCF Bestand'!$E$6:$S$6-2026))+SUMPRODUCT('03_DCF Bestand'!$T$20:$T$23/('03_DCF Bestand'!$U$20:$U$23+01_Annahmen!$C$13+0.01))/(1+(01_Annahmen!$C$12+-0.005))^(2040-2026))/1000000</f>
        <v>-38.769295971371</v>
      </c>
    </row>
    <row r="9" customFormat="false" ht="15" hidden="false" customHeight="false" outlineLevel="0" collapsed="false">
      <c r="B9" s="5" t="s">
        <v>204</v>
      </c>
      <c r="C9" s="44" t="n">
        <f aca="false">(SUMPRODUCT(('03_DCF Bestand'!$E$25:$S$25-'03_DCF Bestand'!$E$24:$S$24)/(1+(01_Annahmen!$C$12+0))^('03_DCF Bestand'!$E$6:$S$6-2026))+SUMPRODUCT('03_DCF Bestand'!$T$20:$T$23/('03_DCF Bestand'!$U$20:$U$23+01_Annahmen!$C$13+0))/(1+(01_Annahmen!$C$12+0))^(2040-2026))/1000000</f>
        <v>-28.4756038129778</v>
      </c>
      <c r="D9" s="43" t="n">
        <f aca="false">(SUMPRODUCT(('03_DCF Bestand'!$E$25:$S$25-'03_DCF Bestand'!$E$24:$S$24)/(1+(01_Annahmen!$C$12+0))^('03_DCF Bestand'!$E$6:$S$6-2026))+SUMPRODUCT('03_DCF Bestand'!$T$20:$T$23/('03_DCF Bestand'!$U$20:$U$23+01_Annahmen!$C$13+0.0025))/(1+(01_Annahmen!$C$12+0))^(2040-2026))/1000000</f>
        <v>-32.8328700342055</v>
      </c>
      <c r="E9" s="43" t="n">
        <f aca="false">(SUMPRODUCT(('03_DCF Bestand'!$E$25:$S$25-'03_DCF Bestand'!$E$24:$S$24)/(1+(01_Annahmen!$C$12+0))^('03_DCF Bestand'!$E$6:$S$6-2026))+SUMPRODUCT('03_DCF Bestand'!$T$20:$T$23/('03_DCF Bestand'!$U$20:$U$23+01_Annahmen!$C$13+0.005))/(1+(01_Annahmen!$C$12+0))^(2040-2026))/1000000</f>
        <v>-36.7093292222377</v>
      </c>
      <c r="F9" s="43" t="n">
        <f aca="false">(SUMPRODUCT(('03_DCF Bestand'!$E$25:$S$25-'03_DCF Bestand'!$E$24:$S$24)/(1+(01_Annahmen!$C$12+0))^('03_DCF Bestand'!$E$6:$S$6-2026))+SUMPRODUCT('03_DCF Bestand'!$T$20:$T$23/('03_DCF Bestand'!$U$20:$U$23+01_Annahmen!$C$13+0.01))/(1+(01_Annahmen!$C$12+0))^(2040-2026))/1000000</f>
        <v>-43.310881451455</v>
      </c>
    </row>
    <row r="10" customFormat="false" ht="15" hidden="false" customHeight="false" outlineLevel="0" collapsed="false">
      <c r="B10" s="7" t="s">
        <v>205</v>
      </c>
      <c r="C10" s="43" t="n">
        <f aca="false">(SUMPRODUCT(('03_DCF Bestand'!$E$25:$S$25-'03_DCF Bestand'!$E$24:$S$24)/(1+(01_Annahmen!$C$12+0.005))^('03_DCF Bestand'!$E$6:$S$6-2026))+SUMPRODUCT('03_DCF Bestand'!$T$20:$T$23/('03_DCF Bestand'!$U$20:$U$23+01_Annahmen!$C$13+0))/(1+(01_Annahmen!$C$12+0.005))^(2040-2026))/1000000</f>
        <v>-33.6169890915188</v>
      </c>
      <c r="D10" s="43" t="n">
        <f aca="false">(SUMPRODUCT(('03_DCF Bestand'!$E$25:$S$25-'03_DCF Bestand'!$E$24:$S$24)/(1+(01_Annahmen!$C$12+0.005))^('03_DCF Bestand'!$E$6:$S$6-2026))+SUMPRODUCT('03_DCF Bestand'!$T$20:$T$23/('03_DCF Bestand'!$U$20:$U$23+01_Annahmen!$C$13+0.0025))/(1+(01_Annahmen!$C$12+0.005))^(2040-2026))/1000000</f>
        <v>-37.6963604505696</v>
      </c>
      <c r="E10" s="43" t="n">
        <f aca="false">(SUMPRODUCT(('03_DCF Bestand'!$E$25:$S$25-'03_DCF Bestand'!$E$24:$S$24)/(1+(01_Annahmen!$C$12+0.005))^('03_DCF Bestand'!$E$6:$S$6-2026))+SUMPRODUCT('03_DCF Bestand'!$T$20:$T$23/('03_DCF Bestand'!$U$20:$U$23+01_Annahmen!$C$13+0.005))/(1+(01_Annahmen!$C$12+0.005))^(2040-2026))/1000000</f>
        <v>-41.3255893714805</v>
      </c>
      <c r="F10" s="43" t="n">
        <f aca="false">(SUMPRODUCT(('03_DCF Bestand'!$E$25:$S$25-'03_DCF Bestand'!$E$24:$S$24)/(1+(01_Annahmen!$C$12+0.005))^('03_DCF Bestand'!$E$6:$S$6-2026))+SUMPRODUCT('03_DCF Bestand'!$T$20:$T$23/('03_DCF Bestand'!$U$20:$U$23+01_Annahmen!$C$13+0.01))/(1+(01_Annahmen!$C$12+0.005))^(2040-2026))/1000000</f>
        <v>-47.5061121400799</v>
      </c>
    </row>
    <row r="11" customFormat="false" ht="15" hidden="false" customHeight="false" outlineLevel="0" collapsed="false">
      <c r="B11" s="7" t="s">
        <v>206</v>
      </c>
      <c r="C11" s="43" t="n">
        <f aca="false">(SUMPRODUCT(('03_DCF Bestand'!$E$25:$S$25-'03_DCF Bestand'!$E$24:$S$24)/(1+(01_Annahmen!$C$12+0.01))^('03_DCF Bestand'!$E$6:$S$6-2026))+SUMPRODUCT('03_DCF Bestand'!$T$20:$T$23/('03_DCF Bestand'!$U$20:$U$23+01_Annahmen!$C$13+0))/(1+(01_Annahmen!$C$12+0.01))^(2040-2026))/1000000</f>
        <v>-38.3728721017011</v>
      </c>
      <c r="D11" s="43" t="n">
        <f aca="false">(SUMPRODUCT(('03_DCF Bestand'!$E$25:$S$25-'03_DCF Bestand'!$E$24:$S$24)/(1+(01_Annahmen!$C$12+0.01))^('03_DCF Bestand'!$E$6:$S$6-2026))+SUMPRODUCT('03_DCF Bestand'!$T$20:$T$23/('03_DCF Bestand'!$U$20:$U$23+01_Annahmen!$C$13+0.0025))/(1+(01_Annahmen!$C$12+0.01))^(2040-2026))/1000000</f>
        <v>-42.1932514163591</v>
      </c>
      <c r="E11" s="43" t="n">
        <f aca="false">(SUMPRODUCT(('03_DCF Bestand'!$E$25:$S$25-'03_DCF Bestand'!$E$24:$S$24)/(1+(01_Annahmen!$C$12+0.01))^('03_DCF Bestand'!$E$6:$S$6-2026))+SUMPRODUCT('03_DCF Bestand'!$T$20:$T$23/('03_DCF Bestand'!$U$20:$U$23+01_Annahmen!$C$13+0.005))/(1+(01_Annahmen!$C$12+0.01))^(2040-2026))/1000000</f>
        <v>-45.592067037017</v>
      </c>
      <c r="F11" s="43" t="n">
        <f aca="false">(SUMPRODUCT(('03_DCF Bestand'!$E$25:$S$25-'03_DCF Bestand'!$E$24:$S$24)/(1+(01_Annahmen!$C$12+0.01))^('03_DCF Bestand'!$E$6:$S$6-2026))+SUMPRODUCT('03_DCF Bestand'!$T$20:$T$23/('03_DCF Bestand'!$U$20:$U$23+01_Annahmen!$C$13+0.01))/(1+(01_Annahmen!$C$12+0.01))^(2040-2026))/1000000</f>
        <v>-51.3801993889645</v>
      </c>
    </row>
    <row r="14" customFormat="false" ht="15" hidden="false" customHeight="false" outlineLevel="0" collapsed="false">
      <c r="B14" s="16" t="s">
        <v>207</v>
      </c>
    </row>
    <row r="15" customFormat="false" ht="21.75" hidden="false" customHeight="true" outlineLevel="0" collapsed="false">
      <c r="B15" s="3" t="s">
        <v>197</v>
      </c>
      <c r="C15" s="4" t="s">
        <v>198</v>
      </c>
      <c r="D15" s="4" t="s">
        <v>199</v>
      </c>
      <c r="E15" s="4" t="s">
        <v>200</v>
      </c>
      <c r="F15" s="4" t="s">
        <v>201</v>
      </c>
    </row>
    <row r="16" customFormat="false" ht="15" hidden="false" customHeight="false" outlineLevel="0" collapsed="false">
      <c r="B16" s="7" t="s">
        <v>202</v>
      </c>
      <c r="C16" s="43" t="n">
        <f aca="false">(SUMPRODUCT(('04_DCF Mix'!$E$25:$S$25-'04_DCF Mix'!$E$24:$S$24)/(1+(01_Annahmen!$C$12+-0.01))^('04_DCF Mix'!$E$6:$S$6-2026))+SUMPRODUCT('04_DCF Mix'!$T$20:$T$23/('04_DCF Mix'!$U$20:$U$23+01_Annahmen!$C$13+0))/(1+(01_Annahmen!$C$12+-0.01))^(2040-2026))/1000000</f>
        <v>1.54843822053349</v>
      </c>
      <c r="D16" s="43" t="n">
        <f aca="false">(SUMPRODUCT(('04_DCF Mix'!$E$25:$S$25-'04_DCF Mix'!$E$24:$S$24)/(1+(01_Annahmen!$C$12+-0.01))^('04_DCF Mix'!$E$6:$S$6-2026))+SUMPRODUCT('04_DCF Mix'!$T$20:$T$23/('04_DCF Mix'!$U$20:$U$23+01_Annahmen!$C$13+0.0025))/(1+(01_Annahmen!$C$12+-0.01))^(2040-2026))/1000000</f>
        <v>-0.316664877526492</v>
      </c>
      <c r="E16" s="43" t="n">
        <f aca="false">(SUMPRODUCT(('04_DCF Mix'!$E$25:$S$25-'04_DCF Mix'!$E$24:$S$24)/(1+(01_Annahmen!$C$12+-0.01))^('04_DCF Mix'!$E$6:$S$6-2026))+SUMPRODUCT('04_DCF Mix'!$T$20:$T$23/('04_DCF Mix'!$U$20:$U$23+01_Annahmen!$C$13+0.005))/(1+(01_Annahmen!$C$12+-0.01))^(2040-2026))/1000000</f>
        <v>-2.01138367525136</v>
      </c>
      <c r="F16" s="43" t="n">
        <f aca="false">(SUMPRODUCT(('04_DCF Mix'!$E$25:$S$25-'04_DCF Mix'!$E$24:$S$24)/(1+(01_Annahmen!$C$12+-0.01))^('04_DCF Mix'!$E$6:$S$6-2026))+SUMPRODUCT('04_DCF Mix'!$T$20:$T$23/('04_DCF Mix'!$U$20:$U$23+01_Annahmen!$C$13+0.01))/(1+(01_Annahmen!$C$12+-0.01))^(2040-2026))/1000000</f>
        <v>-4.9754709983971</v>
      </c>
    </row>
    <row r="17" customFormat="false" ht="15" hidden="false" customHeight="false" outlineLevel="0" collapsed="false">
      <c r="B17" s="7" t="s">
        <v>203</v>
      </c>
      <c r="C17" s="43" t="n">
        <f aca="false">(SUMPRODUCT(('04_DCF Mix'!$E$25:$S$25-'04_DCF Mix'!$E$24:$S$24)/(1+(01_Annahmen!$C$12+-0.005))^('04_DCF Mix'!$E$6:$S$6-2026))+SUMPRODUCT('04_DCF Mix'!$T$20:$T$23/('04_DCF Mix'!$U$20:$U$23+01_Annahmen!$C$13+0))/(1+(01_Annahmen!$C$12+-0.005))^(2040-2026))/1000000</f>
        <v>-2.31385068202053</v>
      </c>
      <c r="D17" s="43" t="n">
        <f aca="false">(SUMPRODUCT(('04_DCF Mix'!$E$25:$S$25-'04_DCF Mix'!$E$24:$S$24)/(1+(01_Annahmen!$C$12+-0.005))^('04_DCF Mix'!$E$6:$S$6-2026))+SUMPRODUCT('04_DCF Mix'!$T$20:$T$23/('04_DCF Mix'!$U$20:$U$23+01_Annahmen!$C$13+0.0025))/(1+(01_Annahmen!$C$12+-0.005))^(2040-2026))/1000000</f>
        <v>-4.05890912487983</v>
      </c>
      <c r="E17" s="43" t="n">
        <f aca="false">(SUMPRODUCT(('04_DCF Mix'!$E$25:$S$25-'04_DCF Mix'!$E$24:$S$24)/(1+(01_Annahmen!$C$12+-0.005))^('04_DCF Mix'!$E$6:$S$6-2026))+SUMPRODUCT('04_DCF Mix'!$T$20:$T$23/('04_DCF Mix'!$U$20:$U$23+01_Annahmen!$C$13+0.005))/(1+(01_Annahmen!$C$12+-0.005))^(2040-2026))/1000000</f>
        <v>-5.6445498057185</v>
      </c>
      <c r="F17" s="43" t="n">
        <f aca="false">(SUMPRODUCT(('04_DCF Mix'!$E$25:$S$25-'04_DCF Mix'!$E$24:$S$24)/(1+(01_Annahmen!$C$12+-0.005))^('04_DCF Mix'!$E$6:$S$6-2026))+SUMPRODUCT('04_DCF Mix'!$T$20:$T$23/('04_DCF Mix'!$U$20:$U$23+01_Annahmen!$C$13+0.01))/(1+(01_Annahmen!$C$12+-0.005))^(2040-2026))/1000000</f>
        <v>-8.41785794831284</v>
      </c>
    </row>
    <row r="18" customFormat="false" ht="15" hidden="false" customHeight="false" outlineLevel="0" collapsed="false">
      <c r="B18" s="5" t="s">
        <v>204</v>
      </c>
      <c r="C18" s="44" t="n">
        <f aca="false">(SUMPRODUCT(('04_DCF Mix'!$E$25:$S$25-'04_DCF Mix'!$E$24:$S$24)/(1+(01_Annahmen!$C$12+0))^('04_DCF Mix'!$E$6:$S$6-2026))+SUMPRODUCT('04_DCF Mix'!$T$20:$T$23/('04_DCF Mix'!$U$20:$U$23+01_Annahmen!$C$13+0))/(1+(01_Annahmen!$C$12+0))^(2040-2026))/1000000</f>
        <v>-5.93624930863811</v>
      </c>
      <c r="D18" s="43" t="n">
        <f aca="false">(SUMPRODUCT(('04_DCF Mix'!$E$25:$S$25-'04_DCF Mix'!$E$24:$S$24)/(1+(01_Annahmen!$C$12+0))^('04_DCF Mix'!$E$6:$S$6-2026))+SUMPRODUCT('04_DCF Mix'!$T$20:$T$23/('04_DCF Mix'!$U$20:$U$23+01_Annahmen!$C$13+0.0025))/(1+(01_Annahmen!$C$12+0))^(2040-2026))/1000000</f>
        <v>-7.56950341753634</v>
      </c>
      <c r="E18" s="43" t="n">
        <f aca="false">(SUMPRODUCT(('04_DCF Mix'!$E$25:$S$25-'04_DCF Mix'!$E$24:$S$24)/(1+(01_Annahmen!$C$12+0))^('04_DCF Mix'!$E$6:$S$6-2026))+SUMPRODUCT('04_DCF Mix'!$T$20:$T$23/('04_DCF Mix'!$U$20:$U$23+01_Annahmen!$C$13+0.005))/(1+(01_Annahmen!$C$12+0))^(2040-2026))/1000000</f>
        <v>-9.05355351787144</v>
      </c>
      <c r="F18" s="43" t="n">
        <f aca="false">(SUMPRODUCT(('04_DCF Mix'!$E$25:$S$25-'04_DCF Mix'!$E$24:$S$24)/(1+(01_Annahmen!$C$12+0))^('04_DCF Mix'!$E$6:$S$6-2026))+SUMPRODUCT('04_DCF Mix'!$T$20:$T$23/('04_DCF Mix'!$U$20:$U$23+01_Annahmen!$C$13+0.01))/(1+(01_Annahmen!$C$12+0))^(2040-2026))/1000000</f>
        <v>-11.6491782877281</v>
      </c>
    </row>
    <row r="19" customFormat="false" ht="15" hidden="false" customHeight="false" outlineLevel="0" collapsed="false">
      <c r="B19" s="7" t="s">
        <v>205</v>
      </c>
      <c r="C19" s="43" t="n">
        <f aca="false">(SUMPRODUCT(('04_DCF Mix'!$E$25:$S$25-'04_DCF Mix'!$E$24:$S$24)/(1+(01_Annahmen!$C$12+0.005))^('04_DCF Mix'!$E$6:$S$6-2026))+SUMPRODUCT('04_DCF Mix'!$T$20:$T$23/('04_DCF Mix'!$U$20:$U$23+01_Annahmen!$C$13+0))/(1+(01_Annahmen!$C$12+0.005))^(2040-2026))/1000000</f>
        <v>-9.33495065892761</v>
      </c>
      <c r="D19" s="43" t="n">
        <f aca="false">(SUMPRODUCT(('04_DCF Mix'!$E$25:$S$25-'04_DCF Mix'!$E$24:$S$24)/(1+(01_Annahmen!$C$12+0.005))^('04_DCF Mix'!$E$6:$S$6-2026))+SUMPRODUCT('04_DCF Mix'!$T$20:$T$23/('04_DCF Mix'!$U$20:$U$23+01_Annahmen!$C$13+0.0025))/(1+(01_Annahmen!$C$12+0.005))^(2040-2026))/1000000</f>
        <v>-10.8640401603752</v>
      </c>
      <c r="E19" s="43" t="n">
        <f aca="false">(SUMPRODUCT(('04_DCF Mix'!$E$25:$S$25-'04_DCF Mix'!$E$24:$S$24)/(1+(01_Annahmen!$C$12+0.005))^('04_DCF Mix'!$E$6:$S$6-2026))+SUMPRODUCT('04_DCF Mix'!$T$20:$T$23/('04_DCF Mix'!$U$20:$U$23+01_Annahmen!$C$13+0.005))/(1+(01_Annahmen!$C$12+0.005))^(2040-2026))/1000000</f>
        <v>-12.2534414884854</v>
      </c>
      <c r="F19" s="43" t="n">
        <f aca="false">(SUMPRODUCT(('04_DCF Mix'!$E$25:$S$25-'04_DCF Mix'!$E$24:$S$24)/(1+(01_Annahmen!$C$12+0.005))^('04_DCF Mix'!$E$6:$S$6-2026))+SUMPRODUCT('04_DCF Mix'!$T$20:$T$23/('04_DCF Mix'!$U$20:$U$23+01_Annahmen!$C$13+0.01))/(1+(01_Annahmen!$C$12+0.005))^(2040-2026))/1000000</f>
        <v>-14.683524207189</v>
      </c>
    </row>
    <row r="20" customFormat="false" ht="15" hidden="false" customHeight="false" outlineLevel="0" collapsed="false">
      <c r="B20" s="7" t="s">
        <v>206</v>
      </c>
      <c r="C20" s="43" t="n">
        <f aca="false">(SUMPRODUCT(('04_DCF Mix'!$E$25:$S$25-'04_DCF Mix'!$E$24:$S$24)/(1+(01_Annahmen!$C$12+0.01))^('04_DCF Mix'!$E$6:$S$6-2026))+SUMPRODUCT('04_DCF Mix'!$T$20:$T$23/('04_DCF Mix'!$U$20:$U$23+01_Annahmen!$C$13+0))/(1+(01_Annahmen!$C$12+0.01))^(2040-2026))/1000000</f>
        <v>-12.5249585453155</v>
      </c>
      <c r="D20" s="43" t="n">
        <f aca="false">(SUMPRODUCT(('04_DCF Mix'!$E$25:$S$25-'04_DCF Mix'!$E$24:$S$24)/(1+(01_Annahmen!$C$12+0.01))^('04_DCF Mix'!$E$6:$S$6-2026))+SUMPRODUCT('04_DCF Mix'!$T$20:$T$23/('04_DCF Mix'!$U$20:$U$23+01_Annahmen!$C$13+0.0025))/(1+(01_Annahmen!$C$12+0.01))^(2040-2026))/1000000</f>
        <v>-13.9569688693156</v>
      </c>
      <c r="E20" s="43" t="n">
        <f aca="false">(SUMPRODUCT(('04_DCF Mix'!$E$25:$S$25-'04_DCF Mix'!$E$24:$S$24)/(1+(01_Annahmen!$C$12+0.01))^('04_DCF Mix'!$E$6:$S$6-2026))+SUMPRODUCT('04_DCF Mix'!$T$20:$T$23/('04_DCF Mix'!$U$20:$U$23+01_Annahmen!$C$13+0.005))/(1+(01_Annahmen!$C$12+0.01))^(2040-2026))/1000000</f>
        <v>-15.2581595740779</v>
      </c>
      <c r="F20" s="43" t="n">
        <f aca="false">(SUMPRODUCT(('04_DCF Mix'!$E$25:$S$25-'04_DCF Mix'!$E$24:$S$24)/(1+(01_Annahmen!$C$12+0.01))^('04_DCF Mix'!$E$6:$S$6-2026))+SUMPRODUCT('04_DCF Mix'!$T$20:$T$23/('04_DCF Mix'!$U$20:$U$23+01_Annahmen!$C$13+0.01))/(1+(01_Annahmen!$C$12+0.01))^(2040-2026))/1000000</f>
        <v>-17.5339606557434</v>
      </c>
    </row>
    <row r="23" customFormat="false" ht="15" hidden="false" customHeight="false" outlineLevel="0" collapsed="false">
      <c r="B23" s="16" t="s">
        <v>208</v>
      </c>
    </row>
    <row r="24" customFormat="false" ht="21.75" hidden="false" customHeight="true" outlineLevel="0" collapsed="false">
      <c r="B24" s="3" t="s">
        <v>209</v>
      </c>
      <c r="C24" s="4" t="s">
        <v>210</v>
      </c>
      <c r="D24" s="4" t="s">
        <v>211</v>
      </c>
      <c r="E24" s="4" t="s">
        <v>212</v>
      </c>
      <c r="F24" s="4" t="s">
        <v>213</v>
      </c>
    </row>
    <row r="25" customFormat="false" ht="15" hidden="false" customHeight="false" outlineLevel="0" collapsed="false">
      <c r="B25" s="7" t="s">
        <v>214</v>
      </c>
      <c r="C25" s="41" t="n">
        <f aca="false">'03_DCF Bestand'!$M$12*(1-0)/('03_DCF Bestand'!$L$39*(0.015+01_Annahmen!$C$22))</f>
        <v>2.57588498473758</v>
      </c>
      <c r="D25" s="41" t="n">
        <f aca="false">'03_DCF Bestand'!$M$12*(1-0.1)/('03_DCF Bestand'!$L$39*(0.015+01_Annahmen!$C$22))</f>
        <v>2.31829648626382</v>
      </c>
      <c r="E25" s="41" t="n">
        <f aca="false">'03_DCF Bestand'!$M$12*(1-0.2)/('03_DCF Bestand'!$L$39*(0.015+01_Annahmen!$C$22))</f>
        <v>2.06070798779006</v>
      </c>
      <c r="F25" s="41" t="n">
        <f aca="false">'03_DCF Bestand'!$M$12*(1-0.3)/('03_DCF Bestand'!$L$39*(0.015+01_Annahmen!$C$22))</f>
        <v>1.80311948931631</v>
      </c>
    </row>
    <row r="26" customFormat="false" ht="15" hidden="false" customHeight="false" outlineLevel="0" collapsed="false">
      <c r="B26" s="5" t="s">
        <v>215</v>
      </c>
      <c r="C26" s="42" t="n">
        <f aca="false">'03_DCF Bestand'!$M$12*(1-0)/('03_DCF Bestand'!$L$39*(0.0225+01_Annahmen!$C$22))</f>
        <v>1.98144998825968</v>
      </c>
      <c r="D26" s="41" t="n">
        <f aca="false">'03_DCF Bestand'!$M$12*(1-0.1)/('03_DCF Bestand'!$L$39*(0.0225+01_Annahmen!$C$22))</f>
        <v>1.78330498943371</v>
      </c>
      <c r="E26" s="41" t="n">
        <f aca="false">'03_DCF Bestand'!$M$12*(1-0.2)/('03_DCF Bestand'!$L$39*(0.0225+01_Annahmen!$C$22))</f>
        <v>1.58515999060774</v>
      </c>
      <c r="F26" s="41" t="n">
        <f aca="false">'03_DCF Bestand'!$M$12*(1-0.3)/('03_DCF Bestand'!$L$39*(0.0225+01_Annahmen!$C$22))</f>
        <v>1.38701499178177</v>
      </c>
    </row>
    <row r="27" customFormat="false" ht="15" hidden="false" customHeight="false" outlineLevel="0" collapsed="false">
      <c r="B27" s="7" t="s">
        <v>216</v>
      </c>
      <c r="C27" s="41" t="n">
        <f aca="false">'03_DCF Bestand'!$M$12*(1-0)/('03_DCF Bestand'!$L$39*(0.03+01_Annahmen!$C$22))</f>
        <v>1.60992811546099</v>
      </c>
      <c r="D27" s="41" t="n">
        <f aca="false">'03_DCF Bestand'!$M$12*(1-0.1)/('03_DCF Bestand'!$L$39*(0.03+01_Annahmen!$C$22))</f>
        <v>1.44893530391489</v>
      </c>
      <c r="E27" s="41" t="n">
        <f aca="false">'03_DCF Bestand'!$M$12*(1-0.2)/('03_DCF Bestand'!$L$39*(0.03+01_Annahmen!$C$22))</f>
        <v>1.28794249236879</v>
      </c>
      <c r="F27" s="41" t="n">
        <f aca="false">'03_DCF Bestand'!$M$12*(1-0.3)/('03_DCF Bestand'!$L$39*(0.03+01_Annahmen!$C$22))</f>
        <v>1.12694968082269</v>
      </c>
    </row>
    <row r="28" customFormat="false" ht="15" hidden="false" customHeight="false" outlineLevel="0" collapsed="false">
      <c r="B28" s="7" t="s">
        <v>217</v>
      </c>
      <c r="C28" s="41" t="n">
        <f aca="false">'03_DCF Bestand'!$M$12*(1-0)/('03_DCF Bestand'!$L$39*(0.04+01_Annahmen!$C$22))</f>
        <v>1.28794249236879</v>
      </c>
      <c r="D28" s="41" t="n">
        <f aca="false">'03_DCF Bestand'!$M$12*(1-0.1)/('03_DCF Bestand'!$L$39*(0.04+01_Annahmen!$C$22))</f>
        <v>1.15914824313191</v>
      </c>
      <c r="E28" s="41" t="n">
        <f aca="false">'03_DCF Bestand'!$M$12*(1-0.2)/('03_DCF Bestand'!$L$39*(0.04+01_Annahmen!$C$22))</f>
        <v>1.03035399389503</v>
      </c>
      <c r="F28" s="41" t="n">
        <f aca="false">'03_DCF Bestand'!$M$12*(1-0.3)/('03_DCF Bestand'!$L$39*(0.04+01_Annahmen!$C$22))</f>
        <v>0.901559744658153</v>
      </c>
    </row>
    <row r="29" customFormat="false" ht="15" hidden="false" customHeight="false" outlineLevel="0" collapsed="false">
      <c r="B29" s="7" t="s">
        <v>218</v>
      </c>
      <c r="C29" s="41" t="n">
        <f aca="false">'03_DCF Bestand'!$M$12*(1-0)/('03_DCF Bestand'!$L$39*(0.05+01_Annahmen!$C$22))</f>
        <v>1.07328541030732</v>
      </c>
      <c r="D29" s="41" t="n">
        <f aca="false">'03_DCF Bestand'!$M$12*(1-0.1)/('03_DCF Bestand'!$L$39*(0.05+01_Annahmen!$C$22))</f>
        <v>0.965956869276592</v>
      </c>
      <c r="E29" s="41" t="n">
        <f aca="false">'03_DCF Bestand'!$M$12*(1-0.2)/('03_DCF Bestand'!$L$39*(0.05+01_Annahmen!$C$22))</f>
        <v>0.85862832824586</v>
      </c>
      <c r="F29" s="41" t="n">
        <f aca="false">'03_DCF Bestand'!$M$12*(1-0.3)/('03_DCF Bestand'!$L$39*(0.05+01_Annahmen!$C$22))</f>
        <v>0.751299787215127</v>
      </c>
    </row>
    <row r="30" customFormat="false" ht="15" hidden="false" customHeight="false" outlineLevel="0" collapsed="false">
      <c r="B30" s="2" t="s">
        <v>219</v>
      </c>
    </row>
    <row r="33" customFormat="false" ht="15" hidden="false" customHeight="false" outlineLevel="0" collapsed="false">
      <c r="B33" s="16" t="s">
        <v>220</v>
      </c>
    </row>
    <row r="34" customFormat="false" ht="30" hidden="false" customHeight="true" outlineLevel="0" collapsed="false">
      <c r="B34" s="3" t="s">
        <v>221</v>
      </c>
      <c r="C34" s="4" t="s">
        <v>24</v>
      </c>
      <c r="D34" s="4" t="s">
        <v>222</v>
      </c>
      <c r="E34" s="4" t="s">
        <v>19</v>
      </c>
      <c r="F34" s="4" t="s">
        <v>223</v>
      </c>
      <c r="G34" s="4" t="s">
        <v>224</v>
      </c>
    </row>
    <row r="35" customFormat="false" ht="15" hidden="false" customHeight="false" outlineLevel="0" collapsed="false">
      <c r="B35" s="5" t="s">
        <v>225</v>
      </c>
      <c r="C35" s="29" t="n">
        <f aca="false">'04_DCF Mix'!$D$17*(1-0)</f>
        <v>106250000</v>
      </c>
      <c r="D35" s="29" t="n">
        <f aca="false">'04_DCF Mix'!$K$39+0*'04_DCF Mix'!$D$17</f>
        <v>1654378.23507875</v>
      </c>
      <c r="E35" s="35" t="n">
        <f aca="false">D35/'04_DCF Mix'!$L$40</f>
        <v>0.0226964493275731</v>
      </c>
      <c r="F35" s="41" t="n">
        <f aca="false">IF(D35=0,0,'04_DCF Mix'!$M$12/(D35*(01_Annahmen!$C$20+01_Annahmen!$C$22)))</f>
        <v>67.981999733426</v>
      </c>
      <c r="G35" s="29" t="n">
        <f aca="false">MAX(0,D35-01_Annahmen!$C$21*'04_DCF Mix'!$L$40)</f>
        <v>0</v>
      </c>
    </row>
    <row r="36" customFormat="false" ht="15" hidden="false" customHeight="false" outlineLevel="0" collapsed="false">
      <c r="B36" s="7" t="s">
        <v>211</v>
      </c>
      <c r="C36" s="29" t="n">
        <f aca="false">'04_DCF Mix'!$D$17*(1-0.1)</f>
        <v>95625000</v>
      </c>
      <c r="D36" s="29" t="n">
        <f aca="false">'04_DCF Mix'!$K$39+0.1*'04_DCF Mix'!$D$17</f>
        <v>12279378.2350788</v>
      </c>
      <c r="E36" s="35" t="n">
        <f aca="false">D36/'04_DCF Mix'!$L$40</f>
        <v>0.168461044746096</v>
      </c>
      <c r="F36" s="41" t="n">
        <f aca="false">IF(D36=0,0,'04_DCF Mix'!$M$12/(D36*(01_Annahmen!$C$20+01_Annahmen!$C$22)))</f>
        <v>9.1590908418164</v>
      </c>
      <c r="G36" s="29" t="n">
        <f aca="false">MAX(0,D36-01_Annahmen!$C$21*'04_DCF Mix'!$L$40)</f>
        <v>0</v>
      </c>
    </row>
    <row r="37" customFormat="false" ht="15" hidden="false" customHeight="false" outlineLevel="0" collapsed="false">
      <c r="B37" s="7" t="s">
        <v>212</v>
      </c>
      <c r="C37" s="29" t="n">
        <f aca="false">'04_DCF Mix'!$D$17*(1-0.2)</f>
        <v>85000000</v>
      </c>
      <c r="D37" s="29" t="n">
        <f aca="false">'04_DCF Mix'!$K$39+0.2*'04_DCF Mix'!$D$17</f>
        <v>22904378.2350788</v>
      </c>
      <c r="E37" s="35" t="n">
        <f aca="false">D37/'04_DCF Mix'!$L$40</f>
        <v>0.314225640164619</v>
      </c>
      <c r="F37" s="41" t="n">
        <f aca="false">IF(D37=0,0,'04_DCF Mix'!$M$12/(D37*(01_Annahmen!$C$20+01_Annahmen!$C$22)))</f>
        <v>4.91032498598287</v>
      </c>
      <c r="G37" s="29" t="n">
        <f aca="false">MAX(0,D37-01_Annahmen!$C$21*'04_DCF Mix'!$L$40)</f>
        <v>0</v>
      </c>
    </row>
    <row r="38" customFormat="false" ht="15" hidden="false" customHeight="false" outlineLevel="0" collapsed="false">
      <c r="B38" s="7" t="s">
        <v>213</v>
      </c>
      <c r="C38" s="29" t="n">
        <f aca="false">'04_DCF Mix'!$D$17*(1-0.3)</f>
        <v>74375000</v>
      </c>
      <c r="D38" s="29" t="n">
        <f aca="false">'04_DCF Mix'!$K$39+0.3*'04_DCF Mix'!$D$17</f>
        <v>33529378.2350788</v>
      </c>
      <c r="E38" s="35" t="n">
        <f aca="false">D38/'04_DCF Mix'!$L$40</f>
        <v>0.459990235583142</v>
      </c>
      <c r="F38" s="41" t="n">
        <f aca="false">IF(D38=0,0,'04_DCF Mix'!$M$12/(D38*(01_Annahmen!$C$20+01_Annahmen!$C$22)))</f>
        <v>3.35431035874219</v>
      </c>
      <c r="G38" s="29" t="n">
        <f aca="false">MAX(0,D38-01_Annahmen!$C$21*'04_DCF Mix'!$L$40)</f>
        <v>0</v>
      </c>
    </row>
    <row r="40" customFormat="false" ht="15" hidden="false" customHeight="false" outlineLevel="0" collapsed="false">
      <c r="B40" s="2" t="s">
        <v>226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20"/>
  </cols>
  <sheetData>
    <row r="2" customFormat="false" ht="18.55" hidden="false" customHeight="false" outlineLevel="0" collapsed="false">
      <c r="B2" s="1" t="s">
        <v>227</v>
      </c>
    </row>
    <row r="3" customFormat="false" ht="15" hidden="false" customHeight="false" outlineLevel="0" collapsed="false">
      <c r="B3" s="2" t="s">
        <v>228</v>
      </c>
    </row>
    <row r="5" customFormat="false" ht="19.5" hidden="false" customHeight="true" outlineLevel="0" collapsed="false">
      <c r="B5" s="3" t="s">
        <v>229</v>
      </c>
      <c r="C5" s="4" t="s">
        <v>230</v>
      </c>
    </row>
    <row r="6" customFormat="false" ht="43.5" hidden="false" customHeight="true" outlineLevel="0" collapsed="false">
      <c r="B6" s="5" t="s">
        <v>231</v>
      </c>
      <c r="C6" s="45" t="s">
        <v>232</v>
      </c>
    </row>
    <row r="7" customFormat="false" ht="43.5" hidden="false" customHeight="true" outlineLevel="0" collapsed="false">
      <c r="B7" s="5" t="s">
        <v>233</v>
      </c>
      <c r="C7" s="45" t="s">
        <v>234</v>
      </c>
    </row>
    <row r="8" customFormat="false" ht="43.5" hidden="false" customHeight="true" outlineLevel="0" collapsed="false">
      <c r="B8" s="5" t="s">
        <v>235</v>
      </c>
      <c r="C8" s="45" t="s">
        <v>236</v>
      </c>
    </row>
    <row r="9" customFormat="false" ht="43.5" hidden="false" customHeight="true" outlineLevel="0" collapsed="false">
      <c r="B9" s="5" t="s">
        <v>237</v>
      </c>
      <c r="C9" s="45" t="s">
        <v>238</v>
      </c>
    </row>
    <row r="10" customFormat="false" ht="43.5" hidden="false" customHeight="true" outlineLevel="0" collapsed="false">
      <c r="B10" s="5" t="s">
        <v>239</v>
      </c>
      <c r="C10" s="45" t="s">
        <v>240</v>
      </c>
    </row>
    <row r="11" customFormat="false" ht="43.5" hidden="false" customHeight="true" outlineLevel="0" collapsed="false">
      <c r="B11" s="5" t="s">
        <v>241</v>
      </c>
      <c r="C11" s="45" t="s">
        <v>242</v>
      </c>
    </row>
    <row r="12" customFormat="false" ht="43.5" hidden="false" customHeight="true" outlineLevel="0" collapsed="false">
      <c r="B12" s="5" t="s">
        <v>243</v>
      </c>
      <c r="C12" s="45" t="s">
        <v>244</v>
      </c>
    </row>
    <row r="13" customFormat="false" ht="43.5" hidden="false" customHeight="true" outlineLevel="0" collapsed="false">
      <c r="B13" s="5" t="s">
        <v>245</v>
      </c>
      <c r="C13" s="45" t="s">
        <v>246</v>
      </c>
    </row>
    <row r="14" customFormat="false" ht="43.5" hidden="false" customHeight="true" outlineLevel="0" collapsed="false">
      <c r="B14" s="5" t="s">
        <v>247</v>
      </c>
      <c r="C14" s="45" t="s">
        <v>248</v>
      </c>
    </row>
    <row r="15" customFormat="false" ht="43.5" hidden="false" customHeight="true" outlineLevel="0" collapsed="false">
      <c r="B15" s="5" t="s">
        <v>249</v>
      </c>
      <c r="C15" s="45" t="s">
        <v>250</v>
      </c>
    </row>
    <row r="16" customFormat="false" ht="43.5" hidden="false" customHeight="true" outlineLevel="0" collapsed="false">
      <c r="B16" s="5" t="s">
        <v>251</v>
      </c>
      <c r="C16" s="45" t="s">
        <v>252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2026-09-28T12:17:08Z</dcterms:created>
  <dc:creator>openpyxl</dc:creator>
  <dc:description/>
  <dc:language>en-US</dc:language>
  <cp:lastModifiedBy/>
  <dcterms:modified xsi:type="dcterms:W3CDTF">2026-09-28T12:17:08Z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